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bur\Dropbox (Personal)\Principally Uncertain\Principally Uncertain - Shared\Articles\Trump Rallies\"/>
    </mc:Choice>
  </mc:AlternateContent>
  <bookViews>
    <workbookView xWindow="0" yWindow="0" windowWidth="13530" windowHeight="5460"/>
  </bookViews>
  <sheets>
    <sheet name="Overall" sheetId="1" r:id="rId1"/>
    <sheet name="rate" sheetId="2" r:id="rId2"/>
    <sheet name="State_tot_gen_elec" sheetId="4" r:id="rId3"/>
  </sheets>
  <definedNames>
    <definedName name="_xlnm._FilterDatabase" localSheetId="0" hidden="1">Overall!$A$1:$A$339</definedName>
    <definedName name="_xlnm.Extract" localSheetId="0">rate!$A:$A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5" i="2" l="1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B736" i="2"/>
  <c r="C736" i="2" s="1"/>
  <c r="B584" i="2" l="1"/>
  <c r="C145" i="2" l="1"/>
  <c r="C144" i="2"/>
  <c r="C124" i="2"/>
  <c r="C123" i="2"/>
  <c r="C100" i="2"/>
  <c r="C99" i="2"/>
  <c r="C98" i="2"/>
  <c r="C97" i="2"/>
  <c r="C89" i="2"/>
  <c r="C88" i="2"/>
  <c r="C87" i="2"/>
  <c r="C86" i="2"/>
  <c r="C85" i="2"/>
  <c r="C84" i="2"/>
  <c r="C83" i="2"/>
  <c r="C82" i="2"/>
  <c r="C81" i="2"/>
  <c r="C80" i="2"/>
  <c r="C79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37" i="2"/>
  <c r="C36" i="2"/>
  <c r="C35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B683" i="2"/>
  <c r="C689" i="2" s="1"/>
  <c r="B643" i="2"/>
  <c r="B638" i="2"/>
  <c r="B682" i="2"/>
  <c r="B681" i="2"/>
  <c r="C687" i="2" s="1"/>
  <c r="B680" i="2"/>
  <c r="C686" i="2" s="1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2" i="2"/>
  <c r="B641" i="2"/>
  <c r="B640" i="2"/>
  <c r="B639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3" i="2"/>
  <c r="B616" i="2"/>
  <c r="B615" i="2"/>
  <c r="B614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2" i="2"/>
  <c r="B593" i="2"/>
  <c r="B591" i="2"/>
  <c r="B590" i="2"/>
  <c r="B589" i="2"/>
  <c r="B588" i="2"/>
  <c r="B587" i="2"/>
  <c r="B586" i="2"/>
  <c r="B585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59" i="2"/>
  <c r="B358" i="2"/>
  <c r="B357" i="2"/>
  <c r="B356" i="2"/>
  <c r="B355" i="2"/>
  <c r="B354" i="2"/>
  <c r="B353" i="2"/>
  <c r="B352" i="2"/>
  <c r="B360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89" i="2"/>
  <c r="B290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5" i="2"/>
  <c r="B174" i="2"/>
  <c r="B176" i="2"/>
  <c r="B177" i="2"/>
  <c r="B178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06" i="2"/>
  <c r="B109" i="2"/>
  <c r="B113" i="2"/>
  <c r="B116" i="2"/>
  <c r="B146" i="2"/>
  <c r="B137" i="2"/>
  <c r="B135" i="2"/>
  <c r="B133" i="2"/>
  <c r="B130" i="2"/>
  <c r="B125" i="2"/>
  <c r="B101" i="2"/>
  <c r="B90" i="2"/>
  <c r="B72" i="2"/>
  <c r="B70" i="2"/>
  <c r="B69" i="2"/>
  <c r="B62" i="2"/>
  <c r="B42" i="2"/>
  <c r="B38" i="2"/>
  <c r="B28" i="2"/>
  <c r="B2" i="2"/>
  <c r="C8" i="2" s="1"/>
  <c r="C684" i="2" l="1"/>
  <c r="C688" i="2"/>
  <c r="C685" i="2"/>
  <c r="C429" i="2"/>
  <c r="C433" i="2"/>
  <c r="C437" i="2"/>
  <c r="C441" i="2"/>
  <c r="C445" i="2"/>
  <c r="C449" i="2"/>
  <c r="C453" i="2"/>
  <c r="C457" i="2"/>
  <c r="C461" i="2"/>
  <c r="C465" i="2"/>
  <c r="C469" i="2"/>
  <c r="C473" i="2"/>
  <c r="C477" i="2"/>
  <c r="C481" i="2"/>
  <c r="C485" i="2"/>
  <c r="C489" i="2"/>
  <c r="C493" i="2"/>
  <c r="C497" i="2"/>
  <c r="C501" i="2"/>
  <c r="C505" i="2"/>
  <c r="C509" i="2"/>
  <c r="C513" i="2"/>
  <c r="C517" i="2"/>
  <c r="C521" i="2"/>
  <c r="C525" i="2"/>
  <c r="C529" i="2"/>
  <c r="C533" i="2"/>
  <c r="C537" i="2"/>
  <c r="C541" i="2"/>
  <c r="C545" i="2"/>
  <c r="C549" i="2"/>
  <c r="C553" i="2"/>
  <c r="C557" i="2"/>
  <c r="C561" i="2"/>
  <c r="C565" i="2"/>
  <c r="C569" i="2"/>
  <c r="C573" i="2"/>
  <c r="C577" i="2"/>
  <c r="C581" i="2"/>
  <c r="C585" i="2"/>
  <c r="C589" i="2"/>
  <c r="C593" i="2"/>
  <c r="C597" i="2"/>
  <c r="C601" i="2"/>
  <c r="C605" i="2"/>
  <c r="C609" i="2"/>
  <c r="C613" i="2"/>
  <c r="C617" i="2"/>
  <c r="C622" i="2"/>
  <c r="C625" i="2"/>
  <c r="C629" i="2"/>
  <c r="C633" i="2"/>
  <c r="C637" i="2"/>
  <c r="C641" i="2"/>
  <c r="C646" i="2"/>
  <c r="C651" i="2"/>
  <c r="C655" i="2"/>
  <c r="C659" i="2"/>
  <c r="C663" i="2"/>
  <c r="C667" i="2"/>
  <c r="C671" i="2"/>
  <c r="C675" i="2"/>
  <c r="C679" i="2"/>
  <c r="C683" i="2"/>
  <c r="C154" i="2"/>
  <c r="C170" i="2"/>
  <c r="C162" i="2"/>
  <c r="C76" i="2"/>
  <c r="C171" i="2"/>
  <c r="C175" i="2"/>
  <c r="C180" i="2"/>
  <c r="C187" i="2"/>
  <c r="C191" i="2"/>
  <c r="C195" i="2"/>
  <c r="C199" i="2"/>
  <c r="C203" i="2"/>
  <c r="C207" i="2"/>
  <c r="C211" i="2"/>
  <c r="C219" i="2"/>
  <c r="C223" i="2"/>
  <c r="C231" i="2"/>
  <c r="C235" i="2"/>
  <c r="C239" i="2"/>
  <c r="C243" i="2"/>
  <c r="C247" i="2"/>
  <c r="C251" i="2"/>
  <c r="C255" i="2"/>
  <c r="C259" i="2"/>
  <c r="C263" i="2"/>
  <c r="C267" i="2"/>
  <c r="C271" i="2"/>
  <c r="C275" i="2"/>
  <c r="C279" i="2"/>
  <c r="C283" i="2"/>
  <c r="C287" i="2"/>
  <c r="C291" i="2"/>
  <c r="C296" i="2"/>
  <c r="C299" i="2"/>
  <c r="C303" i="2"/>
  <c r="C307" i="2"/>
  <c r="C311" i="2"/>
  <c r="C315" i="2"/>
  <c r="C319" i="2"/>
  <c r="C323" i="2"/>
  <c r="C327" i="2"/>
  <c r="C331" i="2"/>
  <c r="C335" i="2"/>
  <c r="C339" i="2"/>
  <c r="C343" i="2"/>
  <c r="C347" i="2"/>
  <c r="C351" i="2"/>
  <c r="C355" i="2"/>
  <c r="C358" i="2"/>
  <c r="C362" i="2"/>
  <c r="C367" i="2"/>
  <c r="C371" i="2"/>
  <c r="C375" i="2"/>
  <c r="C379" i="2"/>
  <c r="C383" i="2"/>
  <c r="C387" i="2"/>
  <c r="C391" i="2"/>
  <c r="C395" i="2"/>
  <c r="C399" i="2"/>
  <c r="C403" i="2"/>
  <c r="C407" i="2"/>
  <c r="C411" i="2"/>
  <c r="C415" i="2"/>
  <c r="C419" i="2"/>
  <c r="C423" i="2"/>
  <c r="C427" i="2"/>
  <c r="C143" i="2"/>
  <c r="C142" i="2"/>
  <c r="C167" i="2"/>
  <c r="C45" i="2"/>
  <c r="C48" i="2"/>
  <c r="C47" i="2"/>
  <c r="C46" i="2"/>
  <c r="C78" i="2"/>
  <c r="C77" i="2"/>
  <c r="C136" i="2"/>
  <c r="C132" i="2"/>
  <c r="C135" i="2"/>
  <c r="C134" i="2"/>
  <c r="C133" i="2"/>
  <c r="C152" i="2"/>
  <c r="C148" i="2"/>
  <c r="C151" i="2"/>
  <c r="C147" i="2"/>
  <c r="C150" i="2"/>
  <c r="C146" i="2"/>
  <c r="C149" i="2"/>
  <c r="C111" i="2"/>
  <c r="C110" i="2"/>
  <c r="C108" i="2"/>
  <c r="C112" i="2"/>
  <c r="C109" i="2"/>
  <c r="C156" i="2"/>
  <c r="C160" i="2"/>
  <c r="C164" i="2"/>
  <c r="C168" i="2"/>
  <c r="C172" i="2"/>
  <c r="C176" i="2"/>
  <c r="C184" i="2"/>
  <c r="C181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256" i="2"/>
  <c r="C260" i="2"/>
  <c r="C264" i="2"/>
  <c r="C268" i="2"/>
  <c r="C272" i="2"/>
  <c r="C276" i="2"/>
  <c r="C280" i="2"/>
  <c r="C284" i="2"/>
  <c r="C288" i="2"/>
  <c r="C292" i="2"/>
  <c r="C295" i="2"/>
  <c r="C300" i="2"/>
  <c r="C304" i="2"/>
  <c r="C308" i="2"/>
  <c r="C312" i="2"/>
  <c r="C316" i="2"/>
  <c r="C320" i="2"/>
  <c r="C324" i="2"/>
  <c r="C328" i="2"/>
  <c r="C332" i="2"/>
  <c r="C336" i="2"/>
  <c r="C340" i="2"/>
  <c r="C344" i="2"/>
  <c r="C348" i="2"/>
  <c r="C352" i="2"/>
  <c r="C356" i="2"/>
  <c r="C359" i="2"/>
  <c r="C363" i="2"/>
  <c r="C368" i="2"/>
  <c r="C372" i="2"/>
  <c r="C376" i="2"/>
  <c r="C380" i="2"/>
  <c r="C384" i="2"/>
  <c r="C388" i="2"/>
  <c r="C392" i="2"/>
  <c r="C396" i="2"/>
  <c r="C400" i="2"/>
  <c r="C404" i="2"/>
  <c r="C408" i="2"/>
  <c r="C412" i="2"/>
  <c r="C416" i="2"/>
  <c r="C420" i="2"/>
  <c r="C424" i="2"/>
  <c r="C428" i="2"/>
  <c r="C432" i="2"/>
  <c r="C436" i="2"/>
  <c r="C440" i="2"/>
  <c r="C444" i="2"/>
  <c r="C448" i="2"/>
  <c r="C452" i="2"/>
  <c r="C456" i="2"/>
  <c r="C460" i="2"/>
  <c r="C464" i="2"/>
  <c r="C468" i="2"/>
  <c r="C472" i="2"/>
  <c r="C476" i="2"/>
  <c r="C480" i="2"/>
  <c r="C484" i="2"/>
  <c r="C488" i="2"/>
  <c r="C492" i="2"/>
  <c r="C496" i="2"/>
  <c r="C500" i="2"/>
  <c r="C504" i="2"/>
  <c r="C508" i="2"/>
  <c r="C512" i="2"/>
  <c r="C516" i="2"/>
  <c r="C520" i="2"/>
  <c r="C524" i="2"/>
  <c r="C528" i="2"/>
  <c r="C532" i="2"/>
  <c r="C536" i="2"/>
  <c r="C75" i="2"/>
  <c r="C71" i="2"/>
  <c r="C74" i="2"/>
  <c r="C69" i="2"/>
  <c r="C73" i="2"/>
  <c r="C72" i="2"/>
  <c r="C70" i="2"/>
  <c r="C140" i="2"/>
  <c r="C141" i="2"/>
  <c r="C166" i="2"/>
  <c r="C115" i="2"/>
  <c r="C114" i="2"/>
  <c r="C113" i="2"/>
  <c r="C159" i="2"/>
  <c r="C65" i="2"/>
  <c r="C68" i="2"/>
  <c r="C64" i="2"/>
  <c r="C67" i="2"/>
  <c r="C63" i="2"/>
  <c r="C66" i="2"/>
  <c r="C62" i="2"/>
  <c r="C95" i="2"/>
  <c r="C91" i="2"/>
  <c r="C94" i="2"/>
  <c r="C90" i="2"/>
  <c r="C96" i="2"/>
  <c r="C93" i="2"/>
  <c r="C92" i="2"/>
  <c r="C139" i="2"/>
  <c r="C138" i="2"/>
  <c r="C137" i="2"/>
  <c r="C120" i="2"/>
  <c r="C122" i="2"/>
  <c r="C121" i="2"/>
  <c r="C153" i="2"/>
  <c r="C157" i="2"/>
  <c r="C161" i="2"/>
  <c r="C165" i="2"/>
  <c r="C169" i="2"/>
  <c r="C173" i="2"/>
  <c r="C177" i="2"/>
  <c r="C183" i="2"/>
  <c r="C185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C241" i="2"/>
  <c r="C245" i="2"/>
  <c r="C249" i="2"/>
  <c r="C253" i="2"/>
  <c r="C257" i="2"/>
  <c r="C261" i="2"/>
  <c r="C265" i="2"/>
  <c r="C269" i="2"/>
  <c r="C273" i="2"/>
  <c r="C277" i="2"/>
  <c r="C281" i="2"/>
  <c r="C285" i="2"/>
  <c r="C289" i="2"/>
  <c r="C293" i="2"/>
  <c r="C297" i="2"/>
  <c r="C301" i="2"/>
  <c r="C305" i="2"/>
  <c r="C309" i="2"/>
  <c r="C313" i="2"/>
  <c r="C317" i="2"/>
  <c r="C321" i="2"/>
  <c r="C325" i="2"/>
  <c r="C329" i="2"/>
  <c r="C333" i="2"/>
  <c r="C337" i="2"/>
  <c r="C341" i="2"/>
  <c r="C345" i="2"/>
  <c r="C349" i="2"/>
  <c r="C353" i="2"/>
  <c r="C357" i="2"/>
  <c r="C360" i="2"/>
  <c r="C364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C417" i="2"/>
  <c r="C421" i="2"/>
  <c r="C425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C238" i="2"/>
  <c r="C242" i="2"/>
  <c r="C246" i="2"/>
  <c r="C250" i="2"/>
  <c r="C254" i="2"/>
  <c r="C258" i="2"/>
  <c r="C262" i="2"/>
  <c r="C266" i="2"/>
  <c r="C270" i="2"/>
  <c r="C274" i="2"/>
  <c r="C278" i="2"/>
  <c r="C282" i="2"/>
  <c r="C286" i="2"/>
  <c r="C290" i="2"/>
  <c r="C294" i="2"/>
  <c r="C298" i="2"/>
  <c r="C302" i="2"/>
  <c r="C306" i="2"/>
  <c r="C310" i="2"/>
  <c r="C314" i="2"/>
  <c r="C318" i="2"/>
  <c r="C322" i="2"/>
  <c r="C326" i="2"/>
  <c r="C330" i="2"/>
  <c r="C334" i="2"/>
  <c r="C338" i="2"/>
  <c r="C342" i="2"/>
  <c r="C346" i="2"/>
  <c r="C350" i="2"/>
  <c r="C354" i="2"/>
  <c r="C366" i="2"/>
  <c r="C361" i="2"/>
  <c r="C365" i="2"/>
  <c r="C370" i="2"/>
  <c r="C374" i="2"/>
  <c r="C378" i="2"/>
  <c r="C382" i="2"/>
  <c r="C386" i="2"/>
  <c r="C390" i="2"/>
  <c r="C394" i="2"/>
  <c r="C398" i="2"/>
  <c r="C402" i="2"/>
  <c r="C406" i="2"/>
  <c r="C410" i="2"/>
  <c r="C414" i="2"/>
  <c r="C418" i="2"/>
  <c r="C422" i="2"/>
  <c r="C426" i="2"/>
  <c r="C430" i="2"/>
  <c r="C434" i="2"/>
  <c r="C438" i="2"/>
  <c r="C442" i="2"/>
  <c r="C446" i="2"/>
  <c r="C450" i="2"/>
  <c r="C454" i="2"/>
  <c r="C458" i="2"/>
  <c r="C462" i="2"/>
  <c r="C33" i="2"/>
  <c r="C29" i="2"/>
  <c r="C32" i="2"/>
  <c r="C28" i="2"/>
  <c r="C31" i="2"/>
  <c r="C34" i="2"/>
  <c r="C30" i="2"/>
  <c r="C107" i="2"/>
  <c r="C103" i="2"/>
  <c r="C106" i="2"/>
  <c r="C102" i="2"/>
  <c r="C105" i="2"/>
  <c r="C104" i="2"/>
  <c r="C101" i="2"/>
  <c r="C116" i="2"/>
  <c r="C119" i="2"/>
  <c r="C118" i="2"/>
  <c r="C117" i="2"/>
  <c r="C158" i="2"/>
  <c r="C41" i="2"/>
  <c r="C44" i="2"/>
  <c r="C40" i="2"/>
  <c r="C43" i="2"/>
  <c r="C39" i="2"/>
  <c r="C42" i="2"/>
  <c r="C38" i="2"/>
  <c r="C128" i="2"/>
  <c r="C131" i="2"/>
  <c r="C127" i="2"/>
  <c r="C130" i="2"/>
  <c r="C126" i="2"/>
  <c r="C125" i="2"/>
  <c r="C129" i="2"/>
  <c r="C155" i="2"/>
  <c r="C163" i="2"/>
  <c r="C179" i="2"/>
  <c r="C215" i="2"/>
  <c r="C227" i="2"/>
  <c r="C431" i="2"/>
  <c r="C435" i="2"/>
  <c r="C439" i="2"/>
  <c r="C443" i="2"/>
  <c r="C447" i="2"/>
  <c r="C451" i="2"/>
  <c r="C455" i="2"/>
  <c r="C459" i="2"/>
  <c r="C463" i="2"/>
  <c r="C467" i="2"/>
  <c r="C471" i="2"/>
  <c r="C475" i="2"/>
  <c r="C479" i="2"/>
  <c r="C483" i="2"/>
  <c r="C487" i="2"/>
  <c r="C491" i="2"/>
  <c r="C495" i="2"/>
  <c r="C499" i="2"/>
  <c r="C503" i="2"/>
  <c r="C507" i="2"/>
  <c r="C511" i="2"/>
  <c r="C515" i="2"/>
  <c r="C519" i="2"/>
  <c r="C523" i="2"/>
  <c r="C527" i="2"/>
  <c r="C531" i="2"/>
  <c r="C535" i="2"/>
  <c r="C539" i="2"/>
  <c r="C543" i="2"/>
  <c r="C547" i="2"/>
  <c r="C551" i="2"/>
  <c r="C555" i="2"/>
  <c r="C559" i="2"/>
  <c r="C563" i="2"/>
  <c r="C567" i="2"/>
  <c r="C571" i="2"/>
  <c r="C575" i="2"/>
  <c r="C579" i="2"/>
  <c r="C591" i="2"/>
  <c r="C607" i="2"/>
  <c r="C623" i="2"/>
  <c r="C639" i="2"/>
  <c r="C540" i="2"/>
  <c r="C544" i="2"/>
  <c r="C548" i="2"/>
  <c r="C552" i="2"/>
  <c r="C556" i="2"/>
  <c r="C560" i="2"/>
  <c r="C564" i="2"/>
  <c r="C568" i="2"/>
  <c r="C572" i="2"/>
  <c r="C576" i="2"/>
  <c r="C580" i="2"/>
  <c r="C584" i="2"/>
  <c r="C588" i="2"/>
  <c r="C592" i="2"/>
  <c r="C596" i="2"/>
  <c r="C600" i="2"/>
  <c r="C604" i="2"/>
  <c r="C608" i="2"/>
  <c r="C612" i="2"/>
  <c r="C616" i="2"/>
  <c r="C621" i="2"/>
  <c r="C624" i="2"/>
  <c r="C628" i="2"/>
  <c r="C632" i="2"/>
  <c r="C636" i="2"/>
  <c r="C640" i="2"/>
  <c r="C645" i="2"/>
  <c r="C650" i="2"/>
  <c r="C654" i="2"/>
  <c r="C658" i="2"/>
  <c r="C662" i="2"/>
  <c r="C666" i="2"/>
  <c r="C670" i="2"/>
  <c r="C674" i="2"/>
  <c r="C678" i="2"/>
  <c r="C682" i="2"/>
  <c r="C649" i="2"/>
  <c r="C466" i="2"/>
  <c r="C470" i="2"/>
  <c r="C474" i="2"/>
  <c r="C478" i="2"/>
  <c r="C482" i="2"/>
  <c r="C486" i="2"/>
  <c r="C490" i="2"/>
  <c r="C494" i="2"/>
  <c r="C498" i="2"/>
  <c r="C502" i="2"/>
  <c r="C506" i="2"/>
  <c r="C510" i="2"/>
  <c r="C514" i="2"/>
  <c r="C518" i="2"/>
  <c r="C522" i="2"/>
  <c r="C526" i="2"/>
  <c r="C530" i="2"/>
  <c r="C534" i="2"/>
  <c r="C538" i="2"/>
  <c r="C542" i="2"/>
  <c r="C546" i="2"/>
  <c r="C550" i="2"/>
  <c r="C554" i="2"/>
  <c r="C558" i="2"/>
  <c r="C562" i="2"/>
  <c r="C566" i="2"/>
  <c r="C570" i="2"/>
  <c r="C574" i="2"/>
  <c r="C578" i="2"/>
  <c r="C582" i="2"/>
  <c r="C586" i="2"/>
  <c r="C590" i="2"/>
  <c r="C594" i="2"/>
  <c r="C599" i="2"/>
  <c r="C602" i="2"/>
  <c r="C606" i="2"/>
  <c r="C610" i="2"/>
  <c r="C614" i="2"/>
  <c r="C618" i="2"/>
  <c r="C619" i="2"/>
  <c r="C626" i="2"/>
  <c r="C630" i="2"/>
  <c r="C634" i="2"/>
  <c r="C638" i="2"/>
  <c r="C642" i="2"/>
  <c r="C647" i="2"/>
  <c r="C652" i="2"/>
  <c r="C656" i="2"/>
  <c r="C660" i="2"/>
  <c r="C664" i="2"/>
  <c r="C668" i="2"/>
  <c r="C672" i="2"/>
  <c r="C676" i="2"/>
  <c r="C680" i="2"/>
  <c r="C583" i="2"/>
  <c r="C587" i="2"/>
  <c r="C595" i="2"/>
  <c r="C598" i="2"/>
  <c r="C603" i="2"/>
  <c r="C611" i="2"/>
  <c r="C615" i="2"/>
  <c r="C620" i="2"/>
  <c r="C627" i="2"/>
  <c r="C631" i="2"/>
  <c r="C635" i="2"/>
  <c r="C643" i="2"/>
  <c r="C648" i="2"/>
  <c r="C653" i="2"/>
  <c r="C657" i="2"/>
  <c r="C661" i="2"/>
  <c r="C665" i="2"/>
  <c r="C669" i="2"/>
  <c r="C673" i="2"/>
  <c r="C677" i="2"/>
  <c r="C681" i="2"/>
  <c r="C644" i="2"/>
</calcChain>
</file>

<file path=xl/sharedStrings.xml><?xml version="1.0" encoding="utf-8"?>
<sst xmlns="http://schemas.openxmlformats.org/spreadsheetml/2006/main" count="1805" uniqueCount="981">
  <si>
    <t>Date</t>
  </si>
  <si>
    <t>City</t>
  </si>
  <si>
    <t>State</t>
  </si>
  <si>
    <t>zip</t>
  </si>
  <si>
    <t>NY</t>
  </si>
  <si>
    <t>Manchester</t>
  </si>
  <si>
    <t>NH</t>
  </si>
  <si>
    <t>Phoenix</t>
  </si>
  <si>
    <t>AZ</t>
  </si>
  <si>
    <t>Phoenix Convention Center</t>
  </si>
  <si>
    <t>SC</t>
  </si>
  <si>
    <t>Magnolia Hall</t>
  </si>
  <si>
    <t>IA</t>
  </si>
  <si>
    <t>Oskaloosa High School</t>
  </si>
  <si>
    <t>Winnacunnet High School</t>
  </si>
  <si>
    <t>AL</t>
  </si>
  <si>
    <t>Ladd-Peebles Stadium</t>
  </si>
  <si>
    <t>Dubuque</t>
  </si>
  <si>
    <t>Grand River Center</t>
  </si>
  <si>
    <t>Greenville</t>
  </si>
  <si>
    <t>TD Convention Center</t>
  </si>
  <si>
    <t>Dallas</t>
  </si>
  <si>
    <t>TX</t>
  </si>
  <si>
    <t>American Airlines Center</t>
  </si>
  <si>
    <t>Oklahoma City</t>
  </si>
  <si>
    <t>OK</t>
  </si>
  <si>
    <t>Oklahoma State Fair</t>
  </si>
  <si>
    <t>Keene High School</t>
  </si>
  <si>
    <t>TN</t>
  </si>
  <si>
    <t>The Factory at Franklin</t>
  </si>
  <si>
    <t>Waterloo</t>
  </si>
  <si>
    <t>Electric Park Ballroom</t>
  </si>
  <si>
    <t>GA</t>
  </si>
  <si>
    <t>North Atlanta Trade Center</t>
  </si>
  <si>
    <t>Civic Center of Anderson</t>
  </si>
  <si>
    <t>Jacksonville</t>
  </si>
  <si>
    <t>FL</t>
  </si>
  <si>
    <t>Jacksonville Landing</t>
  </si>
  <si>
    <t>Sioux City</t>
  </si>
  <si>
    <t>West High School</t>
  </si>
  <si>
    <t>Sparks</t>
  </si>
  <si>
    <t>NV</t>
  </si>
  <si>
    <t>Nugget Casino Resort</t>
  </si>
  <si>
    <t>VA</t>
  </si>
  <si>
    <t>USS Wisconsin</t>
  </si>
  <si>
    <t>Springfield</t>
  </si>
  <si>
    <t>IL</t>
  </si>
  <si>
    <t>Prairie Capital Convention Center</t>
  </si>
  <si>
    <t>Iowa Central Community College</t>
  </si>
  <si>
    <t>Ford Arena</t>
  </si>
  <si>
    <t>Knoxville Convention Center</t>
  </si>
  <si>
    <t>MA</t>
  </si>
  <si>
    <t>DCU Center</t>
  </si>
  <si>
    <t>Maytag Auditorium, DMACC Newton Campus</t>
  </si>
  <si>
    <t>Birmingham–Jefferson Convention Complex</t>
  </si>
  <si>
    <t>Columbus</t>
  </si>
  <si>
    <t>OH</t>
  </si>
  <si>
    <t>Greater Columbus Convention Center</t>
  </si>
  <si>
    <t>Myrtle Beach</t>
  </si>
  <si>
    <t>Myrtle Beach Convention Center</t>
  </si>
  <si>
    <t>Sarasota</t>
  </si>
  <si>
    <t>Robarts Arena</t>
  </si>
  <si>
    <t>Macon Coliseum</t>
  </si>
  <si>
    <t>White Mountain Athletic Club</t>
  </si>
  <si>
    <t>Prince William County Fairgrounds</t>
  </si>
  <si>
    <t>Raleigh</t>
  </si>
  <si>
    <t>NC</t>
  </si>
  <si>
    <t>Dorton Arena</t>
  </si>
  <si>
    <t>Davenport</t>
  </si>
  <si>
    <t>Mississippi Valley Fairgrounds</t>
  </si>
  <si>
    <t>Clay County Regional Events Center</t>
  </si>
  <si>
    <t>USS Yorktown</t>
  </si>
  <si>
    <t>Des Moines</t>
  </si>
  <si>
    <t>Varied Industries Building, Iowa State Fairgrounds</t>
  </si>
  <si>
    <t>USC Aiken Convocation Center</t>
  </si>
  <si>
    <t>Las Vegas</t>
  </si>
  <si>
    <t>Westgate Las Vegas Resort &amp; Casino</t>
  </si>
  <si>
    <t>Phoenix–Mesa Gateway Airport</t>
  </si>
  <si>
    <t>Cedar Rapids</t>
  </si>
  <si>
    <t>Veterans Memorial Coliseum</t>
  </si>
  <si>
    <t>Grand Rapids</t>
  </si>
  <si>
    <t>MI</t>
  </si>
  <si>
    <t>DeltaPlex Arena</t>
  </si>
  <si>
    <t>Nashua</t>
  </si>
  <si>
    <t>Pennichuck Middle School</t>
  </si>
  <si>
    <t>Council Bluffs</t>
  </si>
  <si>
    <t>Mid-America Center</t>
  </si>
  <si>
    <t>The Westin Hilton Head Island Resort &amp; Spa</t>
  </si>
  <si>
    <t>MS</t>
  </si>
  <si>
    <t>Mississippi Coast Coliseum</t>
  </si>
  <si>
    <t>Tsongas Center</t>
  </si>
  <si>
    <t>Stevens High School</t>
  </si>
  <si>
    <t>VT</t>
  </si>
  <si>
    <t>Flynn Center for the Performing Arts</t>
  </si>
  <si>
    <t>Winthrop Coliseum</t>
  </si>
  <si>
    <t>Surf Ballroom</t>
  </si>
  <si>
    <t>Bridgeview Center</t>
  </si>
  <si>
    <t>Reno</t>
  </si>
  <si>
    <t>Reno Events Center</t>
  </si>
  <si>
    <t>Windham</t>
  </si>
  <si>
    <t>Castleton Banquet and Conference Center</t>
  </si>
  <si>
    <t>West Gymnasium, University of Northern Iowa</t>
  </si>
  <si>
    <t>Pensacola</t>
  </si>
  <si>
    <t>Pensacola Bay Center</t>
  </si>
  <si>
    <t>Living History Farms Visitor Center</t>
  </si>
  <si>
    <t>Concord</t>
  </si>
  <si>
    <t>Concord High School</t>
  </si>
  <si>
    <t>Vines Center, Liberty University</t>
  </si>
  <si>
    <t>Hansen Agriculture Student Learning Center, Iowa State University</t>
  </si>
  <si>
    <t>The Wright Place</t>
  </si>
  <si>
    <t>Mabee Center, Oral Roberts University</t>
  </si>
  <si>
    <t>South Point Hotel, Casino &amp; Spa</t>
  </si>
  <si>
    <t>Pella</t>
  </si>
  <si>
    <t>Douwstra Auditorium, Central College</t>
  </si>
  <si>
    <t>Sioux Center</t>
  </si>
  <si>
    <t>B. J. Haan Auditorium, Dordt College</t>
  </si>
  <si>
    <t>Muscatine</t>
  </si>
  <si>
    <t>Muscatine High School</t>
  </si>
  <si>
    <t>Farmington</t>
  </si>
  <si>
    <t>Farmington Senior High School</t>
  </si>
  <si>
    <t>Iowa City</t>
  </si>
  <si>
    <t>Iowa Field House, University of Iowa</t>
  </si>
  <si>
    <t>Marshalltown</t>
  </si>
  <si>
    <t>Roundhouse Gymnasium, Marshalltown High School</t>
  </si>
  <si>
    <t>Gilbert</t>
  </si>
  <si>
    <t>The Barn at Harmon's</t>
  </si>
  <si>
    <t>Sheslow Auditorium, Drake University</t>
  </si>
  <si>
    <t>Radisson Hotel Nashua</t>
  </si>
  <si>
    <t>Clinton</t>
  </si>
  <si>
    <t>Clinton Middle School</t>
  </si>
  <si>
    <t>Adler Theatre</t>
  </si>
  <si>
    <t>Dubuque Regional Airport</t>
  </si>
  <si>
    <t>Gerald W. Kirn Middle School</t>
  </si>
  <si>
    <t>DoubleTree Hotel Cedar Rapids Convention Complex</t>
  </si>
  <si>
    <t>Ramada Waterloo Hotel and Convention Center</t>
  </si>
  <si>
    <t>Milford</t>
  </si>
  <si>
    <t>Hampshire Hills Athletic Club</t>
  </si>
  <si>
    <t>Little Rock</t>
  </si>
  <si>
    <t>AR</t>
  </si>
  <si>
    <t>Barton Coliseum</t>
  </si>
  <si>
    <t>Exeter</t>
  </si>
  <si>
    <t>Exeter Town Hall</t>
  </si>
  <si>
    <t>Portsmouth</t>
  </si>
  <si>
    <t>Great Bay Community College</t>
  </si>
  <si>
    <t>Florence</t>
  </si>
  <si>
    <t>Florence Civic Center</t>
  </si>
  <si>
    <t>Holderness</t>
  </si>
  <si>
    <t>ALLWell North, Plymouth State University</t>
  </si>
  <si>
    <t>Londonderry</t>
  </si>
  <si>
    <t>Londonderry Lions Club</t>
  </si>
  <si>
    <t>Verizon Wireless Arena</t>
  </si>
  <si>
    <t>Salem</t>
  </si>
  <si>
    <t>Derry-Salem Elks Lodge</t>
  </si>
  <si>
    <t>Pendleton</t>
  </si>
  <si>
    <t>T. Ed Garrison Arena, Clemson University</t>
  </si>
  <si>
    <t>Baton Rouge</t>
  </si>
  <si>
    <t>LA</t>
  </si>
  <si>
    <t>Baton Rouge River Center</t>
  </si>
  <si>
    <t>Tampa</t>
  </si>
  <si>
    <t>USF Sun Dome, University of South Florida</t>
  </si>
  <si>
    <t>Beaufort</t>
  </si>
  <si>
    <t>Beaufort High School Performing Arts Center</t>
  </si>
  <si>
    <t>North Augusta</t>
  </si>
  <si>
    <t>Riverview Park Activities Center</t>
  </si>
  <si>
    <t>Sumter</t>
  </si>
  <si>
    <t>Sumter County Civic Center</t>
  </si>
  <si>
    <t>Walterboro</t>
  </si>
  <si>
    <t>Randy and Sara White's farm</t>
  </si>
  <si>
    <t>Gaffney</t>
  </si>
  <si>
    <t>Broad River Electric Cooperative</t>
  </si>
  <si>
    <t>Kiawah</t>
  </si>
  <si>
    <t>Turtle Point Clubhouse, Kiawah Island Golf Resort</t>
  </si>
  <si>
    <t>North Charleston</t>
  </si>
  <si>
    <t>North Charleston Convention Center</t>
  </si>
  <si>
    <t>Myrtle Beach Sports Center</t>
  </si>
  <si>
    <t>Pawleys Island</t>
  </si>
  <si>
    <t>Pawley's Plantation Golf &amp; Country Club</t>
  </si>
  <si>
    <t>Atlanta</t>
  </si>
  <si>
    <t>Georgia World Congress Center</t>
  </si>
  <si>
    <t>Rose Ballroom</t>
  </si>
  <si>
    <t>Cox Convention Center</t>
  </si>
  <si>
    <t>Highfill</t>
  </si>
  <si>
    <t>Northwest Arkansas Regional Airport</t>
  </si>
  <si>
    <t>Fort Worth</t>
  </si>
  <si>
    <t>Fort Worth Convention Center</t>
  </si>
  <si>
    <t>Millington</t>
  </si>
  <si>
    <t>Millington Regional Jetport</t>
  </si>
  <si>
    <t>Madison</t>
  </si>
  <si>
    <t>Madison City Schools Stadium</t>
  </si>
  <si>
    <t>Radford</t>
  </si>
  <si>
    <t>Dedmon Center, Radford University</t>
  </si>
  <si>
    <t>Valdosta</t>
  </si>
  <si>
    <t>The Complex, Valdosta State University</t>
  </si>
  <si>
    <t>Port Columbus International Airport</t>
  </si>
  <si>
    <t>Louisville</t>
  </si>
  <si>
    <t>KY</t>
  </si>
  <si>
    <t>Kentucky International Convention Center</t>
  </si>
  <si>
    <t>Portland</t>
  </si>
  <si>
    <t>ME</t>
  </si>
  <si>
    <t>The Westin Portland Harborview Hotel</t>
  </si>
  <si>
    <t>Warren</t>
  </si>
  <si>
    <t>Sports &amp; Expo Center, Macomb Community College</t>
  </si>
  <si>
    <t>Cadillac</t>
  </si>
  <si>
    <t>Wexford County Civic Center</t>
  </si>
  <si>
    <t>New Orleans</t>
  </si>
  <si>
    <t>Lakefront Airport</t>
  </si>
  <si>
    <t>Orlando</t>
  </si>
  <si>
    <t>CFE Arena, University of Central Florida</t>
  </si>
  <si>
    <t>Wichita</t>
  </si>
  <si>
    <t>KS</t>
  </si>
  <si>
    <t>Century II Performing Arts &amp; Convention Center</t>
  </si>
  <si>
    <t>Cabarrus Arena &amp; Events Center</t>
  </si>
  <si>
    <t>Madison Central High School</t>
  </si>
  <si>
    <t>Fayetteville</t>
  </si>
  <si>
    <t>Crown Coliseum</t>
  </si>
  <si>
    <t>St. Louis</t>
  </si>
  <si>
    <t>MO</t>
  </si>
  <si>
    <t>Peabody Opera House</t>
  </si>
  <si>
    <t>Cleveland</t>
  </si>
  <si>
    <t>I-X Center</t>
  </si>
  <si>
    <t>Dayton</t>
  </si>
  <si>
    <t>Dayton International Airport</t>
  </si>
  <si>
    <t>Kansas City</t>
  </si>
  <si>
    <t>Midland Theatre</t>
  </si>
  <si>
    <t>Bloomington</t>
  </si>
  <si>
    <t>Synergy Flight Center, Central Illinois Regional Airport</t>
  </si>
  <si>
    <t>Boca Raton</t>
  </si>
  <si>
    <t>Sunset Cove Amphitheater, Sugar Sand Park</t>
  </si>
  <si>
    <t>Tampa Convention Center</t>
  </si>
  <si>
    <t>Vienna</t>
  </si>
  <si>
    <t>Winner Aviation, Youngstown–Warren Regional Airport</t>
  </si>
  <si>
    <t>Salt Lake City</t>
  </si>
  <si>
    <t>UT</t>
  </si>
  <si>
    <t>Inifinity Event Center</t>
  </si>
  <si>
    <t>Fountain Hills</t>
  </si>
  <si>
    <t>Fountain Park</t>
  </si>
  <si>
    <t>Tucson</t>
  </si>
  <si>
    <t>Tucson Convention Center</t>
  </si>
  <si>
    <t>Janesville</t>
  </si>
  <si>
    <t>WI</t>
  </si>
  <si>
    <t>Janesville Conference Center</t>
  </si>
  <si>
    <t>Appleton</t>
  </si>
  <si>
    <t>Radisson Paper Valley Hotel</t>
  </si>
  <si>
    <t>De Pere</t>
  </si>
  <si>
    <t>Byron L. Walter Theatre, St. Norbert College</t>
  </si>
  <si>
    <t>Eau Claire</t>
  </si>
  <si>
    <t>Memorial High School</t>
  </si>
  <si>
    <t>Racine</t>
  </si>
  <si>
    <t>Memorial Hall</t>
  </si>
  <si>
    <t>Rothschild</t>
  </si>
  <si>
    <t>Central Wisconsin Convention &amp; Expo Center</t>
  </si>
  <si>
    <t>West Allis</t>
  </si>
  <si>
    <t>Nathan Hale High School</t>
  </si>
  <si>
    <t>La Crosse</t>
  </si>
  <si>
    <t>La Crosse Center</t>
  </si>
  <si>
    <t>Milwaukee</t>
  </si>
  <si>
    <t>Milwaukee Theatre</t>
  </si>
  <si>
    <t>Superior</t>
  </si>
  <si>
    <t>Richard I. Bong Airport</t>
  </si>
  <si>
    <t>Bethpage</t>
  </si>
  <si>
    <t>Grumman Studios</t>
  </si>
  <si>
    <t>Rochester</t>
  </si>
  <si>
    <t>JetSmart Aviation Services, Greater Rochester International Airport</t>
  </si>
  <si>
    <t>Albany</t>
  </si>
  <si>
    <t>Times Union Center</t>
  </si>
  <si>
    <t>Rome</t>
  </si>
  <si>
    <t>Griffiss International Airport</t>
  </si>
  <si>
    <t>Pittsburgh</t>
  </si>
  <si>
    <t>PA</t>
  </si>
  <si>
    <t>David L. Lawrence Convention Center</t>
  </si>
  <si>
    <t>Hartford</t>
  </si>
  <si>
    <t>CT</t>
  </si>
  <si>
    <t>Connecticut Convention Center</t>
  </si>
  <si>
    <t>Plattsburgh</t>
  </si>
  <si>
    <t>Crete Civic Center</t>
  </si>
  <si>
    <t>Syracuse</t>
  </si>
  <si>
    <t>Nicholas J. Pirro Convention Center, Oncenter</t>
  </si>
  <si>
    <t>Watertown</t>
  </si>
  <si>
    <t>Watertown International Airport</t>
  </si>
  <si>
    <t>Poughkeepsie</t>
  </si>
  <si>
    <t>Mid-Hudson Civic Center</t>
  </si>
  <si>
    <t>Buffalo</t>
  </si>
  <si>
    <t>First Niagara Center</t>
  </si>
  <si>
    <t>Indianapolis</t>
  </si>
  <si>
    <t>IN</t>
  </si>
  <si>
    <t>Elements Financial Blue Ribbon Pavilion, Indiana State Fairgrounds</t>
  </si>
  <si>
    <t>Berlin</t>
  </si>
  <si>
    <t>MD</t>
  </si>
  <si>
    <t>Stephen Decatur High School</t>
  </si>
  <si>
    <t>Harrisburg</t>
  </si>
  <si>
    <t>Pennsylvania Farm Show Complex &amp; Expo Center</t>
  </si>
  <si>
    <t>Harrington</t>
  </si>
  <si>
    <t>DE</t>
  </si>
  <si>
    <t>Quillen Arena, Delaware State Fairgrounds</t>
  </si>
  <si>
    <t>Bridgeport</t>
  </si>
  <si>
    <t>Klein Memorial Auditorium</t>
  </si>
  <si>
    <t>Waterbury</t>
  </si>
  <si>
    <t>Crosby High School</t>
  </si>
  <si>
    <t>Hagerstown</t>
  </si>
  <si>
    <t>Rider Jet Center, Hagerstown Regional Airport</t>
  </si>
  <si>
    <t>Warwick</t>
  </si>
  <si>
    <t>RI</t>
  </si>
  <si>
    <t>Crowne Plaza Hotel Providence-Warwick</t>
  </si>
  <si>
    <t>West Chester</t>
  </si>
  <si>
    <t>West Chester University</t>
  </si>
  <si>
    <t>Wilkes-Barre</t>
  </si>
  <si>
    <t>Mohegan Sun Arena at Casey Plaza</t>
  </si>
  <si>
    <t>Indiana Farmers Coliseum</t>
  </si>
  <si>
    <t>Costa Mesa</t>
  </si>
  <si>
    <t>CA</t>
  </si>
  <si>
    <t>Pacific Amphitheatre, OC Fair &amp; Event Center</t>
  </si>
  <si>
    <t>Evansville</t>
  </si>
  <si>
    <t>Old National Events Plaza</t>
  </si>
  <si>
    <t>Fort Wayne</t>
  </si>
  <si>
    <t>Allen County War Memorial Coliseum</t>
  </si>
  <si>
    <t>Terre Haute</t>
  </si>
  <si>
    <t>Indiana Theatre</t>
  </si>
  <si>
    <t>Carmel</t>
  </si>
  <si>
    <t>The Palladium at the Center for the Performing Arts</t>
  </si>
  <si>
    <t>South Bend</t>
  </si>
  <si>
    <t>Century Center</t>
  </si>
  <si>
    <t>Charleston</t>
  </si>
  <si>
    <t>WV</t>
  </si>
  <si>
    <t>Charleston Civic Center</t>
  </si>
  <si>
    <t>Eugene</t>
  </si>
  <si>
    <t>OR</t>
  </si>
  <si>
    <t>Lane Events Center</t>
  </si>
  <si>
    <t>Omaha</t>
  </si>
  <si>
    <t>NE</t>
  </si>
  <si>
    <t>Werner Enterprises Hangar, Eppley Airfield</t>
  </si>
  <si>
    <t>Lynden</t>
  </si>
  <si>
    <t>WA</t>
  </si>
  <si>
    <t>Northwest Washington Fair and Event Center</t>
  </si>
  <si>
    <t>Spokane</t>
  </si>
  <si>
    <t>Spokane Convention Center</t>
  </si>
  <si>
    <t>Albuquerque</t>
  </si>
  <si>
    <t>NM</t>
  </si>
  <si>
    <t>Albuquerque Convention Center</t>
  </si>
  <si>
    <t>Anaheim</t>
  </si>
  <si>
    <t>Anaheim Convention Center</t>
  </si>
  <si>
    <t>Billings</t>
  </si>
  <si>
    <t>MT</t>
  </si>
  <si>
    <t>Rimrock Auto Arena at MetraPark</t>
  </si>
  <si>
    <t>Fresno</t>
  </si>
  <si>
    <t>Selland Arena</t>
  </si>
  <si>
    <t>San Diego</t>
  </si>
  <si>
    <t>San Diego Convention Center</t>
  </si>
  <si>
    <t>Sacramento</t>
  </si>
  <si>
    <t>Sacramento Jet Center, Sacramento International Airport</t>
  </si>
  <si>
    <t>San Jose</t>
  </si>
  <si>
    <t>South Hall, San Jose Convention Center</t>
  </si>
  <si>
    <t>Redding</t>
  </si>
  <si>
    <t>Redding Municipal Airport</t>
  </si>
  <si>
    <t>Richmond</t>
  </si>
  <si>
    <t>Richmond Coliseum</t>
  </si>
  <si>
    <t>Moon</t>
  </si>
  <si>
    <t>Atlantic Aviation PIT, Pittsburgh International Airport</t>
  </si>
  <si>
    <t>Greensboro</t>
  </si>
  <si>
    <t>Greensboro Coliseum Complex</t>
  </si>
  <si>
    <t>Fox Theatre</t>
  </si>
  <si>
    <t>Gilley's Club</t>
  </si>
  <si>
    <t>The Woodlands</t>
  </si>
  <si>
    <t>The Woodlands Waterway Marriott Hotel &amp; Conference Center</t>
  </si>
  <si>
    <t>Mystère Theatre, Treasure Island Hotel and Casino</t>
  </si>
  <si>
    <t>Arizona Veterans Memorial Coliseum, Arizona State Fairgrounds</t>
  </si>
  <si>
    <t>St. Clairsville</t>
  </si>
  <si>
    <t>Health and Physical Education Center, Ohio University Eastern Campus</t>
  </si>
  <si>
    <t>Bangor</t>
  </si>
  <si>
    <t>Cross Insurance Center</t>
  </si>
  <si>
    <t>Raleigh Memorial Auditorium, Duke Energy Center for the Performing Arts</t>
  </si>
  <si>
    <t>Cincinnati</t>
  </si>
  <si>
    <t>Sharonville Convention Center</t>
  </si>
  <si>
    <t>Westfield</t>
  </si>
  <si>
    <t>Grand Park Event Center, Grand Park</t>
  </si>
  <si>
    <t>Winston-Salem</t>
  </si>
  <si>
    <t>Winston-Salem Fairground Annex, Dixie Classic Fairgrounds</t>
  </si>
  <si>
    <t>Scranton</t>
  </si>
  <si>
    <t>Student Union Gymnasium, Lackawanna College</t>
  </si>
  <si>
    <t>Toledo</t>
  </si>
  <si>
    <t>Huntington Center</t>
  </si>
  <si>
    <t>Colorado Springs</t>
  </si>
  <si>
    <t>CO</t>
  </si>
  <si>
    <t>Gallogly Event Center, University of Colorado Colorado Springs</t>
  </si>
  <si>
    <t>Denver</t>
  </si>
  <si>
    <t>Wings Over the Rockies Air and Space Museum</t>
  </si>
  <si>
    <t>Mechanicsburg</t>
  </si>
  <si>
    <t>Cumberland Valley High School</t>
  </si>
  <si>
    <t>Ashburn</t>
  </si>
  <si>
    <t>Briar Woods High School</t>
  </si>
  <si>
    <t>Daytona Beach</t>
  </si>
  <si>
    <t>Ocean Center</t>
  </si>
  <si>
    <t>Jacksonville Veterans Memorial Arena</t>
  </si>
  <si>
    <t>Merrill Auditorium</t>
  </si>
  <si>
    <t>Iowa Events Center</t>
  </si>
  <si>
    <t>Green Bay</t>
  </si>
  <si>
    <t>KI Convention Center</t>
  </si>
  <si>
    <t>Windham High School</t>
  </si>
  <si>
    <t>Crown Arena</t>
  </si>
  <si>
    <t>Wilmington</t>
  </si>
  <si>
    <t>Trask Coliseum, University of North Carolina at Wilmington</t>
  </si>
  <si>
    <t>Sunrise</t>
  </si>
  <si>
    <t>BB&amp;T Center</t>
  </si>
  <si>
    <t>Kissimmee</t>
  </si>
  <si>
    <t>Silver Spurs Arena</t>
  </si>
  <si>
    <t>Altoona</t>
  </si>
  <si>
    <t>Blair County Convention Center</t>
  </si>
  <si>
    <t>Erie</t>
  </si>
  <si>
    <t>Erie Insurance Arena</t>
  </si>
  <si>
    <t>Fairfield</t>
  </si>
  <si>
    <t>William H. Pitt Center, Sacred Heart University</t>
  </si>
  <si>
    <t>West Bend</t>
  </si>
  <si>
    <t>Ziegler Family Expo Center, Washington County Fair Park &amp; Conference Center</t>
  </si>
  <si>
    <t>Charlotte</t>
  </si>
  <si>
    <t>Charlotte Convention Center</t>
  </si>
  <si>
    <t>Dimondale</t>
  </si>
  <si>
    <t>The Summit Sports and Ice Complex</t>
  </si>
  <si>
    <t>Fredericksburg</t>
  </si>
  <si>
    <t>Fredericksburg Expo &amp; Conference Center</t>
  </si>
  <si>
    <t>Akron</t>
  </si>
  <si>
    <t>James A. Rhodes Arena, University of Akron</t>
  </si>
  <si>
    <t>Austin</t>
  </si>
  <si>
    <t>Luedecke Arena</t>
  </si>
  <si>
    <t>Entertainment Hall, Florida State Fairgrounds</t>
  </si>
  <si>
    <t>Jackson</t>
  </si>
  <si>
    <t>Mississippi Coliseum</t>
  </si>
  <si>
    <t>Radisson Hotel Manchester Downtown</t>
  </si>
  <si>
    <t>Everett</t>
  </si>
  <si>
    <t>Xfinity Arena</t>
  </si>
  <si>
    <t>Roberts Centre</t>
  </si>
  <si>
    <t>Greenville Convention Center</t>
  </si>
  <si>
    <t>Asheville</t>
  </si>
  <si>
    <t>U.S. Cellular Center</t>
  </si>
  <si>
    <t>Clive</t>
  </si>
  <si>
    <t>7 Flags Event Center</t>
  </si>
  <si>
    <t>Canton</t>
  </si>
  <si>
    <t>Canton Memorial Civic Center</t>
  </si>
  <si>
    <t>Laconia</t>
  </si>
  <si>
    <t>Laconia Middle School</t>
  </si>
  <si>
    <t>Miami</t>
  </si>
  <si>
    <t>Knight Center Complex</t>
  </si>
  <si>
    <t>Colorado Jet Center, Colorado Springs Airport</t>
  </si>
  <si>
    <t>Estero</t>
  </si>
  <si>
    <t>Germain Arena</t>
  </si>
  <si>
    <t>High Point</t>
  </si>
  <si>
    <t>Millis Athletic Convocation Center, High Point University</t>
  </si>
  <si>
    <t>Kenansville</t>
  </si>
  <si>
    <t>Duplin County Events Center</t>
  </si>
  <si>
    <t>Stranahan Theater</t>
  </si>
  <si>
    <t>Chester Township</t>
  </si>
  <si>
    <t>Sun Center Studios</t>
  </si>
  <si>
    <t>Melbourne</t>
  </si>
  <si>
    <t>Orlando Melbourne International Airport</t>
  </si>
  <si>
    <t>Loveland</t>
  </si>
  <si>
    <t>Budweiser Events Center</t>
  </si>
  <si>
    <t>Prescott Valley</t>
  </si>
  <si>
    <t>Prescott Valley Event Center</t>
  </si>
  <si>
    <t>Henderson</t>
  </si>
  <si>
    <t>Henderson Pavilion</t>
  </si>
  <si>
    <t>Reno-Sparks Convention Center</t>
  </si>
  <si>
    <t>Ambridge</t>
  </si>
  <si>
    <t>Ambridge Area High School</t>
  </si>
  <si>
    <t>Panama City Beach</t>
  </si>
  <si>
    <t>Aaron Bessant Amphitheater, Aaron Bessant Park</t>
  </si>
  <si>
    <t>Ocala</t>
  </si>
  <si>
    <t>Southeastern Livestock Pavilion</t>
  </si>
  <si>
    <t>Lakeland</t>
  </si>
  <si>
    <t>Lakeland Linder Regional Airport</t>
  </si>
  <si>
    <t>West Palm Beach</t>
  </si>
  <si>
    <t>South Florida Fairgrounds Expo Center</t>
  </si>
  <si>
    <t>U.S. Bank Arena</t>
  </si>
  <si>
    <t>White Oak Amphitheatre</t>
  </si>
  <si>
    <t>Toyota of Portsmouth</t>
  </si>
  <si>
    <t>Norris-Penrose Event Center</t>
  </si>
  <si>
    <t>Grand Junction</t>
  </si>
  <si>
    <t>West Star Aviation, Grand Junction Regional Airport</t>
  </si>
  <si>
    <t>Delaware</t>
  </si>
  <si>
    <t>Delaware County Fair</t>
  </si>
  <si>
    <t>Fletcher</t>
  </si>
  <si>
    <t>WNC Agricultural Center</t>
  </si>
  <si>
    <t>Johnstown</t>
  </si>
  <si>
    <t>Cambria County War Memorial Arena</t>
  </si>
  <si>
    <t>Newtown Township</t>
  </si>
  <si>
    <t>Newtown Athletic Club Sports Training Center</t>
  </si>
  <si>
    <t>Virginia Beach</t>
  </si>
  <si>
    <t>Library Plaza, Regent University</t>
  </si>
  <si>
    <t>Naples</t>
  </si>
  <si>
    <t>Collier County Fairgrounds</t>
  </si>
  <si>
    <t>St. Augustine</t>
  </si>
  <si>
    <t>St. Augustine Amphitheatre</t>
  </si>
  <si>
    <t>MidFlorida Credit Union Amphitheatre</t>
  </si>
  <si>
    <t>Sanford</t>
  </si>
  <si>
    <t>Million Air Orlando, Orlando Sanford International Airport</t>
  </si>
  <si>
    <t>Tallahassee</t>
  </si>
  <si>
    <t>Tallahassee Car Museum</t>
  </si>
  <si>
    <t>Kinston</t>
  </si>
  <si>
    <t>Kinston Jet Center, Kinston Regional Jetport</t>
  </si>
  <si>
    <t>Clark County Fairgrounds</t>
  </si>
  <si>
    <t>SeaGate Convention Centre</t>
  </si>
  <si>
    <t>Geneva</t>
  </si>
  <si>
    <t>Track and Field Building, SPIRE Institute</t>
  </si>
  <si>
    <t>Lisbon</t>
  </si>
  <si>
    <t>Open Door Christian Academy</t>
  </si>
  <si>
    <t>McGrath Amphitheatre</t>
  </si>
  <si>
    <t>Golden</t>
  </si>
  <si>
    <t>Jefferson County Events Center</t>
  </si>
  <si>
    <t>The Venetian Las Vegas</t>
  </si>
  <si>
    <t>Greeley</t>
  </si>
  <si>
    <t>Bank of Colorado Arena, University of Northern Colorado</t>
  </si>
  <si>
    <t>Atlantic Aviation ABQ, Albuquerque International Sunport</t>
  </si>
  <si>
    <t>Sports &amp; Expo Center, Macomb Community College South Campus</t>
  </si>
  <si>
    <t>W.L. Zorn Arena</t>
  </si>
  <si>
    <t>CFE Arena, Central Florida Fairgrounds</t>
  </si>
  <si>
    <t>Maritime Park's Hunter Amphitheater</t>
  </si>
  <si>
    <t>Bayfront Park</t>
  </si>
  <si>
    <t>Jacksonville Equestrian Center</t>
  </si>
  <si>
    <t>Selma</t>
  </si>
  <si>
    <t>The Farm</t>
  </si>
  <si>
    <t>Atkinson</t>
  </si>
  <si>
    <t>Atkinson Country Club</t>
  </si>
  <si>
    <t>Airborne Maintenance &amp; Engineering Services, Inc</t>
  </si>
  <si>
    <t>Hershey</t>
  </si>
  <si>
    <t>Giant Center</t>
  </si>
  <si>
    <t>Florida State Fairgrounds</t>
  </si>
  <si>
    <t>Wilmington International Airport</t>
  </si>
  <si>
    <t>National Western Complex</t>
  </si>
  <si>
    <t>Sioux City Convention Center</t>
  </si>
  <si>
    <t>Minneapolis</t>
  </si>
  <si>
    <t>MN</t>
  </si>
  <si>
    <t>Sun Country Airlines</t>
  </si>
  <si>
    <t>Sterling Heights</t>
  </si>
  <si>
    <t>Freedom Hill Amphitheater, Freedom Hill County Park</t>
  </si>
  <si>
    <t>Moon Township</t>
  </si>
  <si>
    <t>Atlantic Aviation</t>
  </si>
  <si>
    <t>Leesburg</t>
  </si>
  <si>
    <t>Agricultural hall, Loudoun Fairgrounds</t>
  </si>
  <si>
    <t>Robarts Arena, Sarasota County Fairgrounds</t>
  </si>
  <si>
    <t>Lackawanna College Student Union</t>
  </si>
  <si>
    <t>SNHU Arena</t>
  </si>
  <si>
    <t>DeVos Place Convention Center</t>
  </si>
  <si>
    <t>Dow Chemical Hangar, Baton Rouge Metropolitan Airport</t>
  </si>
  <si>
    <t>Wisconsin Exposition Center, Wisconsin State Fair Park</t>
  </si>
  <si>
    <t>Central Florida Fairgrounds</t>
  </si>
  <si>
    <t>Nashville Municipal Auditorium</t>
  </si>
  <si>
    <t>Kentucky Exposition Center</t>
  </si>
  <si>
    <t>Roanoke</t>
  </si>
  <si>
    <t>Berglund Center</t>
  </si>
  <si>
    <t>Waukesha</t>
  </si>
  <si>
    <t>Waukesha County Expo Center</t>
  </si>
  <si>
    <t>Bedford</t>
  </si>
  <si>
    <t>NH Sportsplex</t>
  </si>
  <si>
    <t>Novi</t>
  </si>
  <si>
    <t>Suburban Collection Showplace</t>
  </si>
  <si>
    <t>Manheim</t>
  </si>
  <si>
    <t>Spooky Nook Sports</t>
  </si>
  <si>
    <t>Pueblo</t>
  </si>
  <si>
    <t>Pueblo Convention Center</t>
  </si>
  <si>
    <t>Harrisburg, PA</t>
  </si>
  <si>
    <t>New York, NY</t>
  </si>
  <si>
    <t>Manchester, NH</t>
  </si>
  <si>
    <t>Phoenix, AZ</t>
  </si>
  <si>
    <t>Sun City, SC</t>
  </si>
  <si>
    <t>Oskaloosa, IA</t>
  </si>
  <si>
    <t>Hampton, NH</t>
  </si>
  <si>
    <t>Mobile, AL</t>
  </si>
  <si>
    <t>Dubuque, IA</t>
  </si>
  <si>
    <t>Greenville, SC</t>
  </si>
  <si>
    <t>Dallas, Tx</t>
  </si>
  <si>
    <t>Oklahoma City, OK</t>
  </si>
  <si>
    <t>Keene, NH</t>
  </si>
  <si>
    <t>Franklin, TN</t>
  </si>
  <si>
    <t>Waterloo, IA</t>
  </si>
  <si>
    <t>Norcross, GA</t>
  </si>
  <si>
    <t>Anderson, SC</t>
  </si>
  <si>
    <t>Jacksonville, FL</t>
  </si>
  <si>
    <t>Sioux City, IA</t>
  </si>
  <si>
    <t>Sparks, NV</t>
  </si>
  <si>
    <t>Norfolk, VA</t>
  </si>
  <si>
    <t>Springfield, IL</t>
  </si>
  <si>
    <t>Fort Dodge, IA</t>
  </si>
  <si>
    <t>Beaumont, TX</t>
  </si>
  <si>
    <t>Knoxville, TN</t>
  </si>
  <si>
    <t>Worcester, MA</t>
  </si>
  <si>
    <t>Newton, IA</t>
  </si>
  <si>
    <t>Birmingham, AL</t>
  </si>
  <si>
    <t>Columbus, OH</t>
  </si>
  <si>
    <t>Myrtle Beach, SC</t>
  </si>
  <si>
    <t>Sarasota, FL</t>
  </si>
  <si>
    <t>Macon, GA</t>
  </si>
  <si>
    <t>Waterville Valley, NH</t>
  </si>
  <si>
    <t>Manassas, VA</t>
  </si>
  <si>
    <t>Raleigh, NC</t>
  </si>
  <si>
    <t>Davenport, IA</t>
  </si>
  <si>
    <t>Spencer, IA</t>
  </si>
  <si>
    <t>Mount Pleasant, SC</t>
  </si>
  <si>
    <t>Des Moines, IA</t>
  </si>
  <si>
    <t>Aiken, SC</t>
  </si>
  <si>
    <t>Las Vegas, NV</t>
  </si>
  <si>
    <t>Mesa, AZ</t>
  </si>
  <si>
    <t>Cedar Rapids, IA</t>
  </si>
  <si>
    <t>Grand Rapids, MI</t>
  </si>
  <si>
    <t>Council Bluffs, IA</t>
  </si>
  <si>
    <t>Hilton Head, SC</t>
  </si>
  <si>
    <t>Biloxi, MS</t>
  </si>
  <si>
    <t>Lowell, MA</t>
  </si>
  <si>
    <t>Claremont, NH</t>
  </si>
  <si>
    <t>Burlington, VT</t>
  </si>
  <si>
    <t>Rock Hill, SC</t>
  </si>
  <si>
    <t>Clear Lake, IA</t>
  </si>
  <si>
    <t>Ottumwa, IA</t>
  </si>
  <si>
    <t>Reno, NV</t>
  </si>
  <si>
    <t>Windham, NH</t>
  </si>
  <si>
    <t>Cedar Falls, IA</t>
  </si>
  <si>
    <t>Pensacola, FL</t>
  </si>
  <si>
    <t>Urbandale, IA</t>
  </si>
  <si>
    <t>Concord, NH</t>
  </si>
  <si>
    <t>Lynchburg, VA</t>
  </si>
  <si>
    <t>Ames, IA</t>
  </si>
  <si>
    <t>Tulsa, OK</t>
  </si>
  <si>
    <t>Norwalk, IA</t>
  </si>
  <si>
    <t>Nashua, NH</t>
  </si>
  <si>
    <t>Louisville, KY</t>
  </si>
  <si>
    <t>Scranton, PA</t>
  </si>
  <si>
    <t>Cincinnati, OH</t>
  </si>
  <si>
    <t>Fayetteville, NC</t>
  </si>
  <si>
    <t>Baton Rouge, LA</t>
  </si>
  <si>
    <t>West Allis, WI</t>
  </si>
  <si>
    <t>Hershey, PA</t>
  </si>
  <si>
    <t>Orlando, FL</t>
  </si>
  <si>
    <t>Melbourne, FL</t>
  </si>
  <si>
    <t>Nashville, TN</t>
  </si>
  <si>
    <t>03842</t>
  </si>
  <si>
    <t>06040</t>
  </si>
  <si>
    <t>36604</t>
  </si>
  <si>
    <t>52001</t>
  </si>
  <si>
    <t>29607</t>
  </si>
  <si>
    <t>75219</t>
  </si>
  <si>
    <t>73107</t>
  </si>
  <si>
    <t>03431</t>
  </si>
  <si>
    <t>37064</t>
  </si>
  <si>
    <t>50703</t>
  </si>
  <si>
    <t>30093</t>
  </si>
  <si>
    <t>29625</t>
  </si>
  <si>
    <t>Campaign</t>
  </si>
  <si>
    <t>Primary</t>
  </si>
  <si>
    <t>General</t>
  </si>
  <si>
    <t>Presidential</t>
  </si>
  <si>
    <t>Location</t>
  </si>
  <si>
    <t>Trump Tower</t>
  </si>
  <si>
    <t>Manchester Community College</t>
  </si>
  <si>
    <t>32202</t>
  </si>
  <si>
    <t>51103</t>
  </si>
  <si>
    <t>89431</t>
  </si>
  <si>
    <t>23510</t>
  </si>
  <si>
    <t>62701</t>
  </si>
  <si>
    <t>50501</t>
  </si>
  <si>
    <t>77705</t>
  </si>
  <si>
    <t>37902</t>
  </si>
  <si>
    <t>01608</t>
  </si>
  <si>
    <t>50208</t>
  </si>
  <si>
    <t>35203</t>
  </si>
  <si>
    <t>43215</t>
  </si>
  <si>
    <t>29579</t>
  </si>
  <si>
    <t>34237</t>
  </si>
  <si>
    <t>31217</t>
  </si>
  <si>
    <t>03215</t>
  </si>
  <si>
    <t>20112</t>
  </si>
  <si>
    <t>27607</t>
  </si>
  <si>
    <t>52804</t>
  </si>
  <si>
    <t>51301</t>
  </si>
  <si>
    <t>29464</t>
  </si>
  <si>
    <t>50317</t>
  </si>
  <si>
    <t>29829</t>
  </si>
  <si>
    <t>89109</t>
  </si>
  <si>
    <t>52401</t>
  </si>
  <si>
    <t>49544</t>
  </si>
  <si>
    <t>03064</t>
  </si>
  <si>
    <t>51501</t>
  </si>
  <si>
    <t>29928</t>
  </si>
  <si>
    <t>39531</t>
  </si>
  <si>
    <t>01852</t>
  </si>
  <si>
    <t>03743</t>
  </si>
  <si>
    <t>05401</t>
  </si>
  <si>
    <t>29733</t>
  </si>
  <si>
    <t>50428</t>
  </si>
  <si>
    <t>52501</t>
  </si>
  <si>
    <t>89501</t>
  </si>
  <si>
    <t>03087</t>
  </si>
  <si>
    <t>50614</t>
  </si>
  <si>
    <t>32502</t>
  </si>
  <si>
    <t>50322</t>
  </si>
  <si>
    <t>03301</t>
  </si>
  <si>
    <t>24502</t>
  </si>
  <si>
    <t>50014</t>
  </si>
  <si>
    <t>50211</t>
  </si>
  <si>
    <t>74136</t>
  </si>
  <si>
    <t>89183</t>
  </si>
  <si>
    <t>50219</t>
  </si>
  <si>
    <t>51250</t>
  </si>
  <si>
    <t>52761</t>
  </si>
  <si>
    <t>03835</t>
  </si>
  <si>
    <t>52252</t>
  </si>
  <si>
    <t>50158</t>
  </si>
  <si>
    <t>29054</t>
  </si>
  <si>
    <t>50311</t>
  </si>
  <si>
    <t>03062</t>
  </si>
  <si>
    <t>52732</t>
  </si>
  <si>
    <t>52801</t>
  </si>
  <si>
    <t>85212</t>
  </si>
  <si>
    <t>52003</t>
  </si>
  <si>
    <t>51503</t>
  </si>
  <si>
    <t>50701</t>
  </si>
  <si>
    <t>03055</t>
  </si>
  <si>
    <t>72206</t>
  </si>
  <si>
    <t>03833</t>
  </si>
  <si>
    <t>03801</t>
  </si>
  <si>
    <t>29501</t>
  </si>
  <si>
    <t>03245</t>
  </si>
  <si>
    <t>03053</t>
  </si>
  <si>
    <t>03101</t>
  </si>
  <si>
    <t>03079</t>
  </si>
  <si>
    <t>29670</t>
  </si>
  <si>
    <t>70802</t>
  </si>
  <si>
    <t>33620</t>
  </si>
  <si>
    <t>29907</t>
  </si>
  <si>
    <t>29841</t>
  </si>
  <si>
    <t>29150</t>
  </si>
  <si>
    <t>29488</t>
  </si>
  <si>
    <t>29340</t>
  </si>
  <si>
    <t>29455</t>
  </si>
  <si>
    <t>29418</t>
  </si>
  <si>
    <t>29577</t>
  </si>
  <si>
    <t>29585</t>
  </si>
  <si>
    <t>30313</t>
  </si>
  <si>
    <t>73102</t>
  </si>
  <si>
    <t>72712</t>
  </si>
  <si>
    <t>76102</t>
  </si>
  <si>
    <t>38053</t>
  </si>
  <si>
    <t>35758</t>
  </si>
  <si>
    <t>24141</t>
  </si>
  <si>
    <t>31601</t>
  </si>
  <si>
    <t>43219</t>
  </si>
  <si>
    <t>40202</t>
  </si>
  <si>
    <t>04101</t>
  </si>
  <si>
    <t>48088</t>
  </si>
  <si>
    <t>49601</t>
  </si>
  <si>
    <t>70126</t>
  </si>
  <si>
    <t>32816</t>
  </si>
  <si>
    <t>67202</t>
  </si>
  <si>
    <t>28025</t>
  </si>
  <si>
    <t>39110</t>
  </si>
  <si>
    <t>28306</t>
  </si>
  <si>
    <t>63103</t>
  </si>
  <si>
    <t>44135</t>
  </si>
  <si>
    <t>45377</t>
  </si>
  <si>
    <t>64105</t>
  </si>
  <si>
    <t>61704</t>
  </si>
  <si>
    <t>33498</t>
  </si>
  <si>
    <t>33602</t>
  </si>
  <si>
    <t>44473</t>
  </si>
  <si>
    <t>84111</t>
  </si>
  <si>
    <t>85268</t>
  </si>
  <si>
    <t>85701</t>
  </si>
  <si>
    <t>53545</t>
  </si>
  <si>
    <t>54911</t>
  </si>
  <si>
    <t>54115</t>
  </si>
  <si>
    <t>54701</t>
  </si>
  <si>
    <t>53403</t>
  </si>
  <si>
    <t>54474</t>
  </si>
  <si>
    <t>53227</t>
  </si>
  <si>
    <t>54601</t>
  </si>
  <si>
    <t>53203</t>
  </si>
  <si>
    <t>54880</t>
  </si>
  <si>
    <t>11714</t>
  </si>
  <si>
    <t>14624</t>
  </si>
  <si>
    <t>12207</t>
  </si>
  <si>
    <t>13441</t>
  </si>
  <si>
    <t>15222</t>
  </si>
  <si>
    <t>06103</t>
  </si>
  <si>
    <t>12901</t>
  </si>
  <si>
    <t>13202</t>
  </si>
  <si>
    <t>13634</t>
  </si>
  <si>
    <t>12601</t>
  </si>
  <si>
    <t>14203</t>
  </si>
  <si>
    <t>46205</t>
  </si>
  <si>
    <t>21811</t>
  </si>
  <si>
    <t>17110</t>
  </si>
  <si>
    <t>19952</t>
  </si>
  <si>
    <t>06605</t>
  </si>
  <si>
    <t>06705</t>
  </si>
  <si>
    <t>21742</t>
  </si>
  <si>
    <t>02886</t>
  </si>
  <si>
    <t>19382</t>
  </si>
  <si>
    <t>18702</t>
  </si>
  <si>
    <t>92626</t>
  </si>
  <si>
    <t>47708</t>
  </si>
  <si>
    <t>46805</t>
  </si>
  <si>
    <t>47807</t>
  </si>
  <si>
    <t>46032</t>
  </si>
  <si>
    <t>46601</t>
  </si>
  <si>
    <t>25301</t>
  </si>
  <si>
    <t>97402</t>
  </si>
  <si>
    <t>68110</t>
  </si>
  <si>
    <t>98264</t>
  </si>
  <si>
    <t>99201</t>
  </si>
  <si>
    <t>87102</t>
  </si>
  <si>
    <t>92802</t>
  </si>
  <si>
    <t>59101</t>
  </si>
  <si>
    <t>93721</t>
  </si>
  <si>
    <t>92101</t>
  </si>
  <si>
    <t>95837</t>
  </si>
  <si>
    <t>96002</t>
  </si>
  <si>
    <t>23219</t>
  </si>
  <si>
    <t>15108</t>
  </si>
  <si>
    <t>27403</t>
  </si>
  <si>
    <t>30375</t>
  </si>
  <si>
    <t>75215</t>
  </si>
  <si>
    <t>77380</t>
  </si>
  <si>
    <t>85007</t>
  </si>
  <si>
    <t>43950</t>
  </si>
  <si>
    <t>04401</t>
  </si>
  <si>
    <t>27601</t>
  </si>
  <si>
    <t>45246</t>
  </si>
  <si>
    <t>46074</t>
  </si>
  <si>
    <t>27105</t>
  </si>
  <si>
    <t>18510</t>
  </si>
  <si>
    <t>43604</t>
  </si>
  <si>
    <t>80918</t>
  </si>
  <si>
    <t>80230</t>
  </si>
  <si>
    <t>17050</t>
  </si>
  <si>
    <t>20148</t>
  </si>
  <si>
    <t>32118</t>
  </si>
  <si>
    <t>50309</t>
  </si>
  <si>
    <t>54301</t>
  </si>
  <si>
    <t>28403</t>
  </si>
  <si>
    <t>33323</t>
  </si>
  <si>
    <t>34744</t>
  </si>
  <si>
    <t>16602</t>
  </si>
  <si>
    <t>16501</t>
  </si>
  <si>
    <t>06825</t>
  </si>
  <si>
    <t>53095</t>
  </si>
  <si>
    <t>28202</t>
  </si>
  <si>
    <t>48821</t>
  </si>
  <si>
    <t>22401</t>
  </si>
  <si>
    <t>44325</t>
  </si>
  <si>
    <t>78724</t>
  </si>
  <si>
    <t>33610</t>
  </si>
  <si>
    <t>39202</t>
  </si>
  <si>
    <t>98201</t>
  </si>
  <si>
    <t>85004</t>
  </si>
  <si>
    <t>45177</t>
  </si>
  <si>
    <t>27834</t>
  </si>
  <si>
    <t>50325</t>
  </si>
  <si>
    <t>44702</t>
  </si>
  <si>
    <t>03246</t>
  </si>
  <si>
    <t>33131</t>
  </si>
  <si>
    <t>80916</t>
  </si>
  <si>
    <t>33928</t>
  </si>
  <si>
    <t>27262</t>
  </si>
  <si>
    <t>28349</t>
  </si>
  <si>
    <t>43614</t>
  </si>
  <si>
    <t>19014</t>
  </si>
  <si>
    <t>24016</t>
  </si>
  <si>
    <t>32901</t>
  </si>
  <si>
    <t>53188</t>
  </si>
  <si>
    <t>03110</t>
  </si>
  <si>
    <t>48374</t>
  </si>
  <si>
    <t>17545</t>
  </si>
  <si>
    <t>81003</t>
  </si>
  <si>
    <t>80538</t>
  </si>
  <si>
    <t>86314</t>
  </si>
  <si>
    <t>89012</t>
  </si>
  <si>
    <t>89502</t>
  </si>
  <si>
    <t>15003</t>
  </si>
  <si>
    <t>32413</t>
  </si>
  <si>
    <t>34470</t>
  </si>
  <si>
    <t>33811</t>
  </si>
  <si>
    <t>33411</t>
  </si>
  <si>
    <t>45203</t>
  </si>
  <si>
    <t>80905</t>
  </si>
  <si>
    <t>81506</t>
  </si>
  <si>
    <t>43015</t>
  </si>
  <si>
    <t>28732</t>
  </si>
  <si>
    <t>15901</t>
  </si>
  <si>
    <t>18940</t>
  </si>
  <si>
    <t>23464</t>
  </si>
  <si>
    <t>34120</t>
  </si>
  <si>
    <t>32080</t>
  </si>
  <si>
    <t>32773</t>
  </si>
  <si>
    <t>32308</t>
  </si>
  <si>
    <t>28504</t>
  </si>
  <si>
    <t>45505</t>
  </si>
  <si>
    <t>44041</t>
  </si>
  <si>
    <t>04250</t>
  </si>
  <si>
    <t>80401</t>
  </si>
  <si>
    <t>80631</t>
  </si>
  <si>
    <t>87106</t>
  </si>
  <si>
    <t>32808</t>
  </si>
  <si>
    <t>32221</t>
  </si>
  <si>
    <t>27576</t>
  </si>
  <si>
    <t>03811</t>
  </si>
  <si>
    <t>17033</t>
  </si>
  <si>
    <t>28405</t>
  </si>
  <si>
    <t>80216</t>
  </si>
  <si>
    <t>51101</t>
  </si>
  <si>
    <t>55450</t>
  </si>
  <si>
    <t>48312</t>
  </si>
  <si>
    <t>20175</t>
  </si>
  <si>
    <t>49503</t>
  </si>
  <si>
    <t>70807</t>
  </si>
  <si>
    <t>53214</t>
  </si>
  <si>
    <t>37201</t>
  </si>
  <si>
    <t>40209</t>
  </si>
  <si>
    <t>95113</t>
  </si>
  <si>
    <t>est crowd (min)</t>
  </si>
  <si>
    <t>#_rallies</t>
  </si>
  <si>
    <t>7d_rolling_avg</t>
  </si>
  <si>
    <t>Washington, DC</t>
  </si>
  <si>
    <t>DC</t>
  </si>
  <si>
    <t>National Mall</t>
  </si>
  <si>
    <t>20565</t>
  </si>
  <si>
    <t>Post-election</t>
  </si>
  <si>
    <t>Florida</t>
  </si>
  <si>
    <t>Michigan</t>
  </si>
  <si>
    <t>California</t>
  </si>
  <si>
    <t>New York</t>
  </si>
  <si>
    <t>Montana</t>
  </si>
  <si>
    <t>Texas</t>
  </si>
  <si>
    <t>Alabama</t>
  </si>
  <si>
    <t>Wisconsin</t>
  </si>
  <si>
    <t>Pennsylvania</t>
  </si>
  <si>
    <t>North Carolina</t>
  </si>
  <si>
    <t>Ohio</t>
  </si>
  <si>
    <t>Indiana</t>
  </si>
  <si>
    <t>Iowa</t>
  </si>
  <si>
    <t>N</t>
  </si>
  <si>
    <t>Y</t>
  </si>
  <si>
    <t>Colorado</t>
  </si>
  <si>
    <t>Nevada</t>
  </si>
  <si>
    <t>Events</t>
  </si>
  <si>
    <t>Pending primary</t>
  </si>
  <si>
    <t>Alaska</t>
  </si>
  <si>
    <t>Arizona</t>
  </si>
  <si>
    <t>Connecticut</t>
  </si>
  <si>
    <t>Georgia</t>
  </si>
  <si>
    <t>Idaho</t>
  </si>
  <si>
    <t>Maine</t>
  </si>
  <si>
    <t>Massachussetts</t>
  </si>
  <si>
    <t>Minnesota</t>
  </si>
  <si>
    <t>Mississippi</t>
  </si>
  <si>
    <t>South Carolina</t>
  </si>
  <si>
    <t>New Mexico</t>
  </si>
  <si>
    <t>Oklahoma</t>
  </si>
  <si>
    <t>Kansas</t>
  </si>
  <si>
    <t>North Dakota</t>
  </si>
  <si>
    <t>Nebraska</t>
  </si>
  <si>
    <t>South Dakota</t>
  </si>
  <si>
    <t>Oregon</t>
  </si>
  <si>
    <t>Washington</t>
  </si>
  <si>
    <t>Missouri</t>
  </si>
  <si>
    <t>Illinois</t>
  </si>
  <si>
    <t>Arkansas</t>
  </si>
  <si>
    <t>Tennessee</t>
  </si>
  <si>
    <t>West Virginia</t>
  </si>
  <si>
    <t>New Jersey</t>
  </si>
  <si>
    <t>Rhode Island</t>
  </si>
  <si>
    <t>Maryland</t>
  </si>
  <si>
    <t>Virginia</t>
  </si>
  <si>
    <t>Wyoming</t>
  </si>
  <si>
    <t>Utah</t>
  </si>
  <si>
    <t>Louisiana</t>
  </si>
  <si>
    <t>Vermont</t>
  </si>
  <si>
    <t>New Hampshire</t>
  </si>
  <si>
    <t>Hawaii</t>
  </si>
  <si>
    <t>Kentucky</t>
  </si>
  <si>
    <t>US Cellular Center</t>
  </si>
  <si>
    <t>Youngstown, OH</t>
  </si>
  <si>
    <t>Covelli Centre</t>
  </si>
  <si>
    <t>44503</t>
  </si>
  <si>
    <t>Huntington, WV</t>
  </si>
  <si>
    <t>Big Sandy Superstore Arena</t>
  </si>
  <si>
    <t>25701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</si>
</sst>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3" fontId="0" fillId="0" borderId="0" xfId="0" applyNumberFormat="1"/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topLeftCell="A328" workbookViewId="0">
      <selection sqref="A1:G340"/>
    </sheetView>
  </sheetViews>
  <sheetFormatPr defaultRowHeight="14.5" x14ac:dyDescent="0.35"/>
  <cols>
    <col min="1" max="1" width="13.7265625" style="1" customWidth="1"/>
    <col min="2" max="2" width="16.26953125" customWidth="1"/>
    <col min="4" max="4" width="20.26953125" style="3" customWidth="1"/>
    <col min="5" max="5" width="9.08984375" style="3"/>
  </cols>
  <sheetData>
    <row r="1" spans="1:13" x14ac:dyDescent="0.35">
      <c r="A1" s="1" t="s">
        <v>0</v>
      </c>
      <c r="B1" t="s">
        <v>1</v>
      </c>
      <c r="C1" t="s">
        <v>2</v>
      </c>
      <c r="D1" s="3" t="s">
        <v>646</v>
      </c>
      <c r="E1" s="3" t="s">
        <v>3</v>
      </c>
      <c r="F1" t="s">
        <v>913</v>
      </c>
      <c r="G1" t="s">
        <v>642</v>
      </c>
    </row>
    <row r="2" spans="1:13" x14ac:dyDescent="0.35">
      <c r="A2" s="1">
        <v>42170</v>
      </c>
      <c r="B2" t="s">
        <v>557</v>
      </c>
      <c r="C2" t="s">
        <v>4</v>
      </c>
      <c r="D2" s="3" t="s">
        <v>647</v>
      </c>
      <c r="E2" s="3">
        <v>10022</v>
      </c>
      <c r="F2">
        <v>0</v>
      </c>
      <c r="G2" t="s">
        <v>643</v>
      </c>
    </row>
    <row r="3" spans="1:13" x14ac:dyDescent="0.35">
      <c r="A3" s="1">
        <v>42196</v>
      </c>
      <c r="B3" t="s">
        <v>558</v>
      </c>
      <c r="C3" t="s">
        <v>6</v>
      </c>
      <c r="D3" t="s">
        <v>648</v>
      </c>
      <c r="E3" s="3" t="s">
        <v>631</v>
      </c>
      <c r="F3">
        <v>300</v>
      </c>
      <c r="G3" t="s">
        <v>643</v>
      </c>
      <c r="M3" s="2"/>
    </row>
    <row r="4" spans="1:13" x14ac:dyDescent="0.35">
      <c r="A4" s="1">
        <v>42196</v>
      </c>
      <c r="B4" t="s">
        <v>559</v>
      </c>
      <c r="C4" t="s">
        <v>8</v>
      </c>
      <c r="D4" t="s">
        <v>9</v>
      </c>
      <c r="E4" s="3">
        <v>85004</v>
      </c>
      <c r="F4" s="2">
        <v>15000</v>
      </c>
      <c r="G4" t="s">
        <v>643</v>
      </c>
    </row>
    <row r="5" spans="1:13" x14ac:dyDescent="0.35">
      <c r="A5" s="1">
        <v>42206</v>
      </c>
      <c r="B5" t="s">
        <v>560</v>
      </c>
      <c r="C5" t="s">
        <v>10</v>
      </c>
      <c r="D5" t="s">
        <v>11</v>
      </c>
      <c r="E5" s="3">
        <v>29909</v>
      </c>
      <c r="F5">
        <v>500</v>
      </c>
      <c r="G5" t="s">
        <v>643</v>
      </c>
      <c r="M5" s="2"/>
    </row>
    <row r="6" spans="1:13" x14ac:dyDescent="0.35">
      <c r="A6" s="1">
        <v>42210</v>
      </c>
      <c r="B6" t="s">
        <v>561</v>
      </c>
      <c r="C6" t="s">
        <v>12</v>
      </c>
      <c r="D6" t="s">
        <v>13</v>
      </c>
      <c r="E6" s="3">
        <v>52577</v>
      </c>
      <c r="F6" s="2">
        <v>1000</v>
      </c>
      <c r="G6" t="s">
        <v>643</v>
      </c>
      <c r="M6" s="2"/>
    </row>
    <row r="7" spans="1:13" x14ac:dyDescent="0.35">
      <c r="A7" s="1">
        <v>42230</v>
      </c>
      <c r="B7" t="s">
        <v>562</v>
      </c>
      <c r="C7" t="s">
        <v>6</v>
      </c>
      <c r="D7" t="s">
        <v>14</v>
      </c>
      <c r="E7" s="3" t="s">
        <v>630</v>
      </c>
      <c r="F7" s="2">
        <v>3000</v>
      </c>
      <c r="G7" t="s">
        <v>643</v>
      </c>
    </row>
    <row r="8" spans="1:13" x14ac:dyDescent="0.35">
      <c r="A8" s="1">
        <v>42237</v>
      </c>
      <c r="B8" t="s">
        <v>563</v>
      </c>
      <c r="C8" t="s">
        <v>15</v>
      </c>
      <c r="D8" t="s">
        <v>16</v>
      </c>
      <c r="E8" s="3" t="s">
        <v>632</v>
      </c>
      <c r="F8">
        <v>15000</v>
      </c>
      <c r="G8" t="s">
        <v>643</v>
      </c>
      <c r="M8" s="2"/>
    </row>
    <row r="9" spans="1:13" x14ac:dyDescent="0.35">
      <c r="A9" s="1">
        <v>42241</v>
      </c>
      <c r="B9" t="s">
        <v>564</v>
      </c>
      <c r="C9" t="s">
        <v>12</v>
      </c>
      <c r="D9" t="s">
        <v>18</v>
      </c>
      <c r="E9" s="3" t="s">
        <v>633</v>
      </c>
      <c r="F9" s="2">
        <v>3000</v>
      </c>
      <c r="G9" t="s">
        <v>643</v>
      </c>
      <c r="M9" s="2"/>
    </row>
    <row r="10" spans="1:13" x14ac:dyDescent="0.35">
      <c r="A10" s="1">
        <v>42243</v>
      </c>
      <c r="B10" t="s">
        <v>565</v>
      </c>
      <c r="C10" t="s">
        <v>10</v>
      </c>
      <c r="D10" t="s">
        <v>20</v>
      </c>
      <c r="E10" s="3" t="s">
        <v>634</v>
      </c>
      <c r="F10" s="2">
        <v>1400</v>
      </c>
      <c r="G10" t="s">
        <v>643</v>
      </c>
      <c r="M10" s="2"/>
    </row>
    <row r="11" spans="1:13" x14ac:dyDescent="0.35">
      <c r="A11" s="1">
        <v>42261</v>
      </c>
      <c r="B11" t="s">
        <v>566</v>
      </c>
      <c r="C11" t="s">
        <v>22</v>
      </c>
      <c r="D11" t="s">
        <v>23</v>
      </c>
      <c r="E11" s="3" t="s">
        <v>635</v>
      </c>
      <c r="F11" s="2">
        <v>15000</v>
      </c>
      <c r="G11" t="s">
        <v>643</v>
      </c>
      <c r="M11" s="2"/>
    </row>
    <row r="12" spans="1:13" x14ac:dyDescent="0.35">
      <c r="A12" s="1">
        <v>42272</v>
      </c>
      <c r="B12" t="s">
        <v>567</v>
      </c>
      <c r="C12" t="s">
        <v>25</v>
      </c>
      <c r="D12" t="s">
        <v>26</v>
      </c>
      <c r="E12" s="3" t="s">
        <v>636</v>
      </c>
      <c r="F12" s="2">
        <v>15000</v>
      </c>
      <c r="G12" t="s">
        <v>643</v>
      </c>
      <c r="M12" s="2"/>
    </row>
    <row r="13" spans="1:13" x14ac:dyDescent="0.35">
      <c r="A13" s="1">
        <v>42277</v>
      </c>
      <c r="B13" t="s">
        <v>568</v>
      </c>
      <c r="C13" t="s">
        <v>6</v>
      </c>
      <c r="D13" t="s">
        <v>27</v>
      </c>
      <c r="E13" s="3" t="s">
        <v>637</v>
      </c>
      <c r="F13" s="2">
        <v>3500</v>
      </c>
      <c r="G13" t="s">
        <v>643</v>
      </c>
    </row>
    <row r="14" spans="1:13" x14ac:dyDescent="0.35">
      <c r="A14" s="1">
        <v>42280</v>
      </c>
      <c r="B14" t="s">
        <v>569</v>
      </c>
      <c r="C14" t="s">
        <v>28</v>
      </c>
      <c r="D14" t="s">
        <v>29</v>
      </c>
      <c r="E14" s="3" t="s">
        <v>638</v>
      </c>
      <c r="F14">
        <v>2000</v>
      </c>
      <c r="G14" t="s">
        <v>643</v>
      </c>
      <c r="M14" s="2"/>
    </row>
    <row r="15" spans="1:13" x14ac:dyDescent="0.35">
      <c r="A15" s="1">
        <v>42284</v>
      </c>
      <c r="B15" t="s">
        <v>570</v>
      </c>
      <c r="C15" t="s">
        <v>12</v>
      </c>
      <c r="D15" t="s">
        <v>31</v>
      </c>
      <c r="E15" s="3" t="s">
        <v>639</v>
      </c>
      <c r="F15" s="2">
        <v>1100</v>
      </c>
      <c r="G15" t="s">
        <v>643</v>
      </c>
      <c r="M15" s="2"/>
    </row>
    <row r="16" spans="1:13" x14ac:dyDescent="0.35">
      <c r="A16" s="1">
        <v>42287</v>
      </c>
      <c r="B16" t="s">
        <v>571</v>
      </c>
      <c r="C16" t="s">
        <v>32</v>
      </c>
      <c r="D16" t="s">
        <v>33</v>
      </c>
      <c r="E16" s="3" t="s">
        <v>640</v>
      </c>
      <c r="F16" s="2">
        <v>7700</v>
      </c>
      <c r="G16" t="s">
        <v>643</v>
      </c>
      <c r="M16" s="2"/>
    </row>
    <row r="17" spans="1:7" x14ac:dyDescent="0.35">
      <c r="A17" s="1">
        <v>42296</v>
      </c>
      <c r="B17" t="s">
        <v>572</v>
      </c>
      <c r="C17" t="s">
        <v>10</v>
      </c>
      <c r="D17" t="s">
        <v>34</v>
      </c>
      <c r="E17" s="3" t="s">
        <v>641</v>
      </c>
      <c r="F17" s="2">
        <v>5000</v>
      </c>
      <c r="G17" t="s">
        <v>643</v>
      </c>
    </row>
    <row r="18" spans="1:7" x14ac:dyDescent="0.35">
      <c r="A18" s="1">
        <v>42301</v>
      </c>
      <c r="B18" t="s">
        <v>573</v>
      </c>
      <c r="C18" t="s">
        <v>36</v>
      </c>
      <c r="D18" s="3" t="s">
        <v>37</v>
      </c>
      <c r="E18" s="3" t="s">
        <v>649</v>
      </c>
      <c r="F18" s="2">
        <v>20000</v>
      </c>
      <c r="G18" t="s">
        <v>643</v>
      </c>
    </row>
    <row r="19" spans="1:7" x14ac:dyDescent="0.35">
      <c r="A19" s="1">
        <v>42304</v>
      </c>
      <c r="B19" t="s">
        <v>574</v>
      </c>
      <c r="C19" t="s">
        <v>12</v>
      </c>
      <c r="D19" s="3" t="s">
        <v>39</v>
      </c>
      <c r="E19" s="3" t="s">
        <v>650</v>
      </c>
      <c r="F19" s="2">
        <v>2200</v>
      </c>
      <c r="G19" t="s">
        <v>643</v>
      </c>
    </row>
    <row r="20" spans="1:7" x14ac:dyDescent="0.35">
      <c r="A20" s="1">
        <v>42306</v>
      </c>
      <c r="B20" t="s">
        <v>575</v>
      </c>
      <c r="C20" t="s">
        <v>41</v>
      </c>
      <c r="D20" s="3" t="s">
        <v>42</v>
      </c>
      <c r="E20" s="3" t="s">
        <v>651</v>
      </c>
      <c r="F20" s="2">
        <v>2000</v>
      </c>
      <c r="G20" t="s">
        <v>643</v>
      </c>
    </row>
    <row r="21" spans="1:7" x14ac:dyDescent="0.35">
      <c r="A21" s="1">
        <v>42308</v>
      </c>
      <c r="B21" t="s">
        <v>576</v>
      </c>
      <c r="C21" t="s">
        <v>43</v>
      </c>
      <c r="D21" s="3" t="s">
        <v>44</v>
      </c>
      <c r="E21" s="3" t="s">
        <v>652</v>
      </c>
      <c r="F21" s="2">
        <v>2000</v>
      </c>
      <c r="G21" t="s">
        <v>643</v>
      </c>
    </row>
    <row r="22" spans="1:7" x14ac:dyDescent="0.35">
      <c r="A22" s="1">
        <v>42317</v>
      </c>
      <c r="B22" t="s">
        <v>577</v>
      </c>
      <c r="C22" t="s">
        <v>46</v>
      </c>
      <c r="D22" s="3" t="s">
        <v>47</v>
      </c>
      <c r="E22" s="3" t="s">
        <v>653</v>
      </c>
      <c r="F22" s="2">
        <v>10200</v>
      </c>
      <c r="G22" t="s">
        <v>643</v>
      </c>
    </row>
    <row r="23" spans="1:7" x14ac:dyDescent="0.35">
      <c r="A23" s="1">
        <v>42320</v>
      </c>
      <c r="B23" t="s">
        <v>578</v>
      </c>
      <c r="C23" t="s">
        <v>12</v>
      </c>
      <c r="D23" s="3" t="s">
        <v>48</v>
      </c>
      <c r="E23" s="3" t="s">
        <v>654</v>
      </c>
      <c r="F23" s="2">
        <v>1500</v>
      </c>
      <c r="G23" t="s">
        <v>643</v>
      </c>
    </row>
    <row r="24" spans="1:7" x14ac:dyDescent="0.35">
      <c r="A24" s="1">
        <v>42322</v>
      </c>
      <c r="B24" t="s">
        <v>579</v>
      </c>
      <c r="C24" t="s">
        <v>22</v>
      </c>
      <c r="D24" s="3" t="s">
        <v>49</v>
      </c>
      <c r="E24" s="3" t="s">
        <v>655</v>
      </c>
      <c r="G24" t="s">
        <v>643</v>
      </c>
    </row>
    <row r="25" spans="1:7" x14ac:dyDescent="0.35">
      <c r="A25" s="1">
        <v>42324</v>
      </c>
      <c r="B25" t="s">
        <v>580</v>
      </c>
      <c r="C25" t="s">
        <v>28</v>
      </c>
      <c r="D25" s="3" t="s">
        <v>50</v>
      </c>
      <c r="E25" s="3" t="s">
        <v>656</v>
      </c>
      <c r="F25" s="2">
        <v>5000</v>
      </c>
      <c r="G25" t="s">
        <v>643</v>
      </c>
    </row>
    <row r="26" spans="1:7" x14ac:dyDescent="0.35">
      <c r="A26" s="1">
        <v>42326</v>
      </c>
      <c r="B26" t="s">
        <v>581</v>
      </c>
      <c r="C26" t="s">
        <v>51</v>
      </c>
      <c r="D26" s="3" t="s">
        <v>52</v>
      </c>
      <c r="E26" s="3" t="s">
        <v>657</v>
      </c>
      <c r="F26" s="2">
        <v>10500</v>
      </c>
      <c r="G26" t="s">
        <v>643</v>
      </c>
    </row>
    <row r="27" spans="1:7" x14ac:dyDescent="0.35">
      <c r="A27" s="1">
        <v>42327</v>
      </c>
      <c r="B27" t="s">
        <v>582</v>
      </c>
      <c r="C27" t="s">
        <v>12</v>
      </c>
      <c r="D27" s="3" t="s">
        <v>53</v>
      </c>
      <c r="E27" s="3" t="s">
        <v>658</v>
      </c>
      <c r="F27">
        <v>400</v>
      </c>
      <c r="G27" t="s">
        <v>643</v>
      </c>
    </row>
    <row r="28" spans="1:7" x14ac:dyDescent="0.35">
      <c r="A28" s="1">
        <v>42329</v>
      </c>
      <c r="B28" t="s">
        <v>583</v>
      </c>
      <c r="C28" t="s">
        <v>15</v>
      </c>
      <c r="D28" s="3" t="s">
        <v>54</v>
      </c>
      <c r="E28" s="3" t="s">
        <v>659</v>
      </c>
      <c r="F28" s="2">
        <v>3000</v>
      </c>
      <c r="G28" t="s">
        <v>643</v>
      </c>
    </row>
    <row r="29" spans="1:7" x14ac:dyDescent="0.35">
      <c r="A29" s="1">
        <v>42331</v>
      </c>
      <c r="B29" t="s">
        <v>584</v>
      </c>
      <c r="C29" t="s">
        <v>56</v>
      </c>
      <c r="D29" s="3" t="s">
        <v>57</v>
      </c>
      <c r="E29" s="3" t="s">
        <v>660</v>
      </c>
      <c r="F29" s="2">
        <v>14000</v>
      </c>
      <c r="G29" t="s">
        <v>643</v>
      </c>
    </row>
    <row r="30" spans="1:7" x14ac:dyDescent="0.35">
      <c r="A30" s="1">
        <v>42332</v>
      </c>
      <c r="B30" t="s">
        <v>585</v>
      </c>
      <c r="C30" t="s">
        <v>10</v>
      </c>
      <c r="D30" s="3" t="s">
        <v>59</v>
      </c>
      <c r="E30" s="3" t="s">
        <v>661</v>
      </c>
      <c r="F30" s="2">
        <v>8000</v>
      </c>
      <c r="G30" t="s">
        <v>643</v>
      </c>
    </row>
    <row r="31" spans="1:7" x14ac:dyDescent="0.35">
      <c r="A31" s="1">
        <v>42336</v>
      </c>
      <c r="B31" t="s">
        <v>586</v>
      </c>
      <c r="C31" t="s">
        <v>36</v>
      </c>
      <c r="D31" s="3" t="s">
        <v>61</v>
      </c>
      <c r="E31" s="3" t="s">
        <v>662</v>
      </c>
      <c r="F31" s="2">
        <v>9000</v>
      </c>
      <c r="G31" t="s">
        <v>643</v>
      </c>
    </row>
    <row r="32" spans="1:7" x14ac:dyDescent="0.35">
      <c r="A32" s="1">
        <v>42338</v>
      </c>
      <c r="B32" t="s">
        <v>587</v>
      </c>
      <c r="C32" t="s">
        <v>32</v>
      </c>
      <c r="D32" s="3" t="s">
        <v>62</v>
      </c>
      <c r="E32" s="3" t="s">
        <v>663</v>
      </c>
      <c r="F32" s="2">
        <v>6000</v>
      </c>
      <c r="G32" t="s">
        <v>643</v>
      </c>
    </row>
    <row r="33" spans="1:7" x14ac:dyDescent="0.35">
      <c r="A33" s="1">
        <v>42339</v>
      </c>
      <c r="B33" t="s">
        <v>588</v>
      </c>
      <c r="C33" t="s">
        <v>6</v>
      </c>
      <c r="D33" s="3" t="s">
        <v>63</v>
      </c>
      <c r="E33" s="3" t="s">
        <v>664</v>
      </c>
      <c r="F33">
        <v>900</v>
      </c>
      <c r="G33" t="s">
        <v>643</v>
      </c>
    </row>
    <row r="34" spans="1:7" x14ac:dyDescent="0.35">
      <c r="A34" s="1">
        <v>42340</v>
      </c>
      <c r="B34" t="s">
        <v>589</v>
      </c>
      <c r="C34" t="s">
        <v>43</v>
      </c>
      <c r="D34" s="3" t="s">
        <v>64</v>
      </c>
      <c r="E34" s="3" t="s">
        <v>665</v>
      </c>
      <c r="G34" t="s">
        <v>643</v>
      </c>
    </row>
    <row r="35" spans="1:7" x14ac:dyDescent="0.35">
      <c r="A35" s="1">
        <v>42342</v>
      </c>
      <c r="B35" t="s">
        <v>590</v>
      </c>
      <c r="C35" t="s">
        <v>66</v>
      </c>
      <c r="D35" s="3" t="s">
        <v>67</v>
      </c>
      <c r="E35" s="3" t="s">
        <v>666</v>
      </c>
      <c r="F35" s="2">
        <v>8000</v>
      </c>
      <c r="G35" t="s">
        <v>643</v>
      </c>
    </row>
    <row r="36" spans="1:7" x14ac:dyDescent="0.35">
      <c r="A36" s="1">
        <v>42343</v>
      </c>
      <c r="B36" t="s">
        <v>591</v>
      </c>
      <c r="C36" t="s">
        <v>12</v>
      </c>
      <c r="D36" s="3" t="s">
        <v>69</v>
      </c>
      <c r="E36" s="3" t="s">
        <v>667</v>
      </c>
      <c r="F36" s="2">
        <v>1700</v>
      </c>
      <c r="G36" t="s">
        <v>643</v>
      </c>
    </row>
    <row r="37" spans="1:7" x14ac:dyDescent="0.35">
      <c r="A37" s="1">
        <v>42343</v>
      </c>
      <c r="B37" t="s">
        <v>592</v>
      </c>
      <c r="C37" t="s">
        <v>12</v>
      </c>
      <c r="D37" s="3" t="s">
        <v>70</v>
      </c>
      <c r="E37" s="3" t="s">
        <v>668</v>
      </c>
      <c r="F37" s="2">
        <v>1300</v>
      </c>
      <c r="G37" t="s">
        <v>643</v>
      </c>
    </row>
    <row r="38" spans="1:7" x14ac:dyDescent="0.35">
      <c r="A38" s="1">
        <v>42345</v>
      </c>
      <c r="B38" t="s">
        <v>593</v>
      </c>
      <c r="C38" t="s">
        <v>10</v>
      </c>
      <c r="D38" s="3" t="s">
        <v>71</v>
      </c>
      <c r="E38" s="3" t="s">
        <v>669</v>
      </c>
      <c r="G38" t="s">
        <v>643</v>
      </c>
    </row>
    <row r="39" spans="1:7" x14ac:dyDescent="0.35">
      <c r="A39" s="1">
        <v>42349</v>
      </c>
      <c r="B39" t="s">
        <v>594</v>
      </c>
      <c r="C39" t="s">
        <v>12</v>
      </c>
      <c r="D39" s="3" t="s">
        <v>73</v>
      </c>
      <c r="E39" s="3" t="s">
        <v>670</v>
      </c>
      <c r="F39" s="2">
        <v>2500</v>
      </c>
      <c r="G39" t="s">
        <v>643</v>
      </c>
    </row>
    <row r="40" spans="1:7" x14ac:dyDescent="0.35">
      <c r="A40" s="1">
        <v>42350</v>
      </c>
      <c r="B40" t="s">
        <v>595</v>
      </c>
      <c r="C40" t="s">
        <v>10</v>
      </c>
      <c r="D40" s="3" t="s">
        <v>74</v>
      </c>
      <c r="E40" s="3" t="s">
        <v>671</v>
      </c>
      <c r="G40" t="s">
        <v>643</v>
      </c>
    </row>
    <row r="41" spans="1:7" x14ac:dyDescent="0.35">
      <c r="A41" s="1">
        <v>42352</v>
      </c>
      <c r="B41" t="s">
        <v>596</v>
      </c>
      <c r="C41" t="s">
        <v>41</v>
      </c>
      <c r="D41" s="3" t="s">
        <v>76</v>
      </c>
      <c r="E41" s="3" t="s">
        <v>672</v>
      </c>
      <c r="G41" t="s">
        <v>643</v>
      </c>
    </row>
    <row r="42" spans="1:7" x14ac:dyDescent="0.35">
      <c r="A42" s="1">
        <v>42354</v>
      </c>
      <c r="B42" t="s">
        <v>597</v>
      </c>
      <c r="C42" t="s">
        <v>8</v>
      </c>
      <c r="D42" s="3" t="s">
        <v>77</v>
      </c>
      <c r="E42" s="3" t="s">
        <v>707</v>
      </c>
      <c r="F42" s="2">
        <v>3100</v>
      </c>
      <c r="G42" t="s">
        <v>643</v>
      </c>
    </row>
    <row r="43" spans="1:7" x14ac:dyDescent="0.35">
      <c r="A43" s="1">
        <v>42357</v>
      </c>
      <c r="B43" t="s">
        <v>598</v>
      </c>
      <c r="C43" t="s">
        <v>12</v>
      </c>
      <c r="D43" s="3" t="s">
        <v>79</v>
      </c>
      <c r="E43" s="3" t="s">
        <v>673</v>
      </c>
      <c r="F43" s="2">
        <v>1200</v>
      </c>
      <c r="G43" t="s">
        <v>643</v>
      </c>
    </row>
    <row r="44" spans="1:7" x14ac:dyDescent="0.35">
      <c r="A44" s="1">
        <v>42359</v>
      </c>
      <c r="B44" t="s">
        <v>599</v>
      </c>
      <c r="C44" t="s">
        <v>81</v>
      </c>
      <c r="D44" s="3" t="s">
        <v>82</v>
      </c>
      <c r="E44" s="3" t="s">
        <v>674</v>
      </c>
      <c r="F44" s="2">
        <v>7000</v>
      </c>
      <c r="G44" t="s">
        <v>643</v>
      </c>
    </row>
    <row r="45" spans="1:7" x14ac:dyDescent="0.35">
      <c r="A45" s="1">
        <v>42366</v>
      </c>
      <c r="B45" t="s">
        <v>619</v>
      </c>
      <c r="C45" t="s">
        <v>6</v>
      </c>
      <c r="D45" s="3" t="s">
        <v>84</v>
      </c>
      <c r="E45" s="3" t="s">
        <v>675</v>
      </c>
      <c r="F45" s="2">
        <v>1000</v>
      </c>
      <c r="G45" t="s">
        <v>643</v>
      </c>
    </row>
    <row r="46" spans="1:7" x14ac:dyDescent="0.35">
      <c r="A46" s="1">
        <v>42367</v>
      </c>
      <c r="B46" t="s">
        <v>600</v>
      </c>
      <c r="C46" t="s">
        <v>12</v>
      </c>
      <c r="D46" s="3" t="s">
        <v>86</v>
      </c>
      <c r="E46" s="3" t="s">
        <v>676</v>
      </c>
      <c r="G46" t="s">
        <v>643</v>
      </c>
    </row>
    <row r="47" spans="1:7" x14ac:dyDescent="0.35">
      <c r="A47" s="1">
        <v>42368</v>
      </c>
      <c r="B47" t="s">
        <v>601</v>
      </c>
      <c r="C47" t="s">
        <v>10</v>
      </c>
      <c r="D47" s="3" t="s">
        <v>87</v>
      </c>
      <c r="E47" s="3" t="s">
        <v>677</v>
      </c>
      <c r="F47" s="2">
        <v>2500</v>
      </c>
      <c r="G47" t="s">
        <v>643</v>
      </c>
    </row>
    <row r="48" spans="1:7" x14ac:dyDescent="0.35">
      <c r="A48" s="1">
        <v>42371</v>
      </c>
      <c r="B48" t="s">
        <v>602</v>
      </c>
      <c r="C48" t="s">
        <v>88</v>
      </c>
      <c r="D48" s="3" t="s">
        <v>89</v>
      </c>
      <c r="E48" s="3" t="s">
        <v>678</v>
      </c>
      <c r="F48" s="2">
        <v>15000</v>
      </c>
      <c r="G48" t="s">
        <v>643</v>
      </c>
    </row>
    <row r="49" spans="1:7" x14ac:dyDescent="0.35">
      <c r="A49" s="1">
        <v>42373</v>
      </c>
      <c r="B49" t="s">
        <v>603</v>
      </c>
      <c r="C49" t="s">
        <v>51</v>
      </c>
      <c r="D49" s="3" t="s">
        <v>90</v>
      </c>
      <c r="E49" s="3" t="s">
        <v>679</v>
      </c>
      <c r="F49">
        <v>2000</v>
      </c>
      <c r="G49" t="s">
        <v>643</v>
      </c>
    </row>
    <row r="50" spans="1:7" x14ac:dyDescent="0.35">
      <c r="A50" s="1">
        <v>42374</v>
      </c>
      <c r="B50" t="s">
        <v>604</v>
      </c>
      <c r="C50" t="s">
        <v>6</v>
      </c>
      <c r="D50" s="3" t="s">
        <v>91</v>
      </c>
      <c r="E50" s="3" t="s">
        <v>680</v>
      </c>
      <c r="F50" s="2">
        <v>1200</v>
      </c>
      <c r="G50" t="s">
        <v>643</v>
      </c>
    </row>
    <row r="51" spans="1:7" x14ac:dyDescent="0.35">
      <c r="A51" s="1">
        <v>42376</v>
      </c>
      <c r="B51" t="s">
        <v>605</v>
      </c>
      <c r="C51" t="s">
        <v>92</v>
      </c>
      <c r="D51" s="3" t="s">
        <v>93</v>
      </c>
      <c r="E51" s="3" t="s">
        <v>681</v>
      </c>
      <c r="F51" s="2">
        <v>1400</v>
      </c>
      <c r="G51" t="s">
        <v>643</v>
      </c>
    </row>
    <row r="52" spans="1:7" x14ac:dyDescent="0.35">
      <c r="A52" s="1">
        <v>42377</v>
      </c>
      <c r="B52" t="s">
        <v>606</v>
      </c>
      <c r="C52" t="s">
        <v>10</v>
      </c>
      <c r="D52" s="3" t="s">
        <v>94</v>
      </c>
      <c r="E52" s="3" t="s">
        <v>682</v>
      </c>
      <c r="F52" s="2">
        <v>6500</v>
      </c>
      <c r="G52" t="s">
        <v>643</v>
      </c>
    </row>
    <row r="53" spans="1:7" x14ac:dyDescent="0.35">
      <c r="A53" s="1">
        <v>42378</v>
      </c>
      <c r="B53" t="s">
        <v>607</v>
      </c>
      <c r="C53" t="s">
        <v>12</v>
      </c>
      <c r="D53" s="3" t="s">
        <v>95</v>
      </c>
      <c r="E53" s="3" t="s">
        <v>683</v>
      </c>
      <c r="F53" s="2">
        <v>1700</v>
      </c>
      <c r="G53" t="s">
        <v>643</v>
      </c>
    </row>
    <row r="54" spans="1:7" x14ac:dyDescent="0.35">
      <c r="A54" s="1">
        <v>42378</v>
      </c>
      <c r="B54" t="s">
        <v>608</v>
      </c>
      <c r="C54" t="s">
        <v>12</v>
      </c>
      <c r="D54" s="3" t="s">
        <v>96</v>
      </c>
      <c r="E54" s="3" t="s">
        <v>684</v>
      </c>
      <c r="G54" t="s">
        <v>643</v>
      </c>
    </row>
    <row r="55" spans="1:7" x14ac:dyDescent="0.35">
      <c r="A55" s="1">
        <v>42379</v>
      </c>
      <c r="B55" t="s">
        <v>609</v>
      </c>
      <c r="C55" t="s">
        <v>41</v>
      </c>
      <c r="D55" s="3" t="s">
        <v>98</v>
      </c>
      <c r="E55" s="3" t="s">
        <v>685</v>
      </c>
      <c r="F55" s="2">
        <v>4000</v>
      </c>
      <c r="G55" t="s">
        <v>643</v>
      </c>
    </row>
    <row r="56" spans="1:7" x14ac:dyDescent="0.35">
      <c r="A56" s="1">
        <v>42380</v>
      </c>
      <c r="B56" t="s">
        <v>610</v>
      </c>
      <c r="C56" t="s">
        <v>6</v>
      </c>
      <c r="D56" s="3" t="s">
        <v>100</v>
      </c>
      <c r="E56" s="3" t="s">
        <v>686</v>
      </c>
      <c r="F56">
        <v>550</v>
      </c>
      <c r="G56" t="s">
        <v>643</v>
      </c>
    </row>
    <row r="57" spans="1:7" x14ac:dyDescent="0.35">
      <c r="A57" s="1">
        <v>42381</v>
      </c>
      <c r="B57" t="s">
        <v>611</v>
      </c>
      <c r="C57" t="s">
        <v>12</v>
      </c>
      <c r="D57" s="3" t="s">
        <v>101</v>
      </c>
      <c r="E57" s="3" t="s">
        <v>687</v>
      </c>
      <c r="F57" s="2">
        <v>2000</v>
      </c>
      <c r="G57" t="s">
        <v>643</v>
      </c>
    </row>
    <row r="58" spans="1:7" x14ac:dyDescent="0.35">
      <c r="A58" s="1">
        <v>42382</v>
      </c>
      <c r="B58" t="s">
        <v>612</v>
      </c>
      <c r="C58" t="s">
        <v>36</v>
      </c>
      <c r="D58" s="3" t="s">
        <v>103</v>
      </c>
      <c r="E58" s="3" t="s">
        <v>688</v>
      </c>
      <c r="F58" s="2">
        <v>10000</v>
      </c>
      <c r="G58" t="s">
        <v>643</v>
      </c>
    </row>
    <row r="59" spans="1:7" x14ac:dyDescent="0.35">
      <c r="A59" s="1">
        <v>42384</v>
      </c>
      <c r="B59" t="s">
        <v>613</v>
      </c>
      <c r="C59" t="s">
        <v>12</v>
      </c>
      <c r="D59" s="3" t="s">
        <v>104</v>
      </c>
      <c r="E59" s="3" t="s">
        <v>689</v>
      </c>
      <c r="F59">
        <v>100</v>
      </c>
      <c r="G59" t="s">
        <v>643</v>
      </c>
    </row>
    <row r="60" spans="1:7" x14ac:dyDescent="0.35">
      <c r="A60" s="1">
        <v>42387</v>
      </c>
      <c r="B60" t="s">
        <v>614</v>
      </c>
      <c r="C60" t="s">
        <v>6</v>
      </c>
      <c r="D60" s="3" t="s">
        <v>106</v>
      </c>
      <c r="E60" s="3" t="s">
        <v>690</v>
      </c>
      <c r="F60">
        <v>700</v>
      </c>
      <c r="G60" t="s">
        <v>643</v>
      </c>
    </row>
    <row r="61" spans="1:7" x14ac:dyDescent="0.35">
      <c r="A61" s="1">
        <v>42387</v>
      </c>
      <c r="B61" t="s">
        <v>615</v>
      </c>
      <c r="C61" t="s">
        <v>43</v>
      </c>
      <c r="D61" s="3" t="s">
        <v>107</v>
      </c>
      <c r="E61" s="3" t="s">
        <v>691</v>
      </c>
      <c r="F61" s="2">
        <v>10000</v>
      </c>
      <c r="G61" t="s">
        <v>643</v>
      </c>
    </row>
    <row r="62" spans="1:7" x14ac:dyDescent="0.35">
      <c r="A62" s="1">
        <v>42388</v>
      </c>
      <c r="B62" t="s">
        <v>616</v>
      </c>
      <c r="C62" t="s">
        <v>12</v>
      </c>
      <c r="D62" s="3" t="s">
        <v>108</v>
      </c>
      <c r="E62" s="3" t="s">
        <v>692</v>
      </c>
      <c r="F62" s="2">
        <v>2000</v>
      </c>
      <c r="G62" t="s">
        <v>643</v>
      </c>
    </row>
    <row r="63" spans="1:7" x14ac:dyDescent="0.35">
      <c r="A63" s="1">
        <v>42389</v>
      </c>
      <c r="B63" t="s">
        <v>618</v>
      </c>
      <c r="C63" t="s">
        <v>12</v>
      </c>
      <c r="D63" s="3" t="s">
        <v>109</v>
      </c>
      <c r="E63" s="3" t="s">
        <v>693</v>
      </c>
      <c r="F63">
        <v>300</v>
      </c>
      <c r="G63" t="s">
        <v>643</v>
      </c>
    </row>
    <row r="64" spans="1:7" x14ac:dyDescent="0.35">
      <c r="A64" s="1">
        <v>42389</v>
      </c>
      <c r="B64" t="s">
        <v>617</v>
      </c>
      <c r="C64" t="s">
        <v>25</v>
      </c>
      <c r="D64" s="3" t="s">
        <v>110</v>
      </c>
      <c r="E64" s="3" t="s">
        <v>694</v>
      </c>
      <c r="F64" s="2">
        <v>9000</v>
      </c>
      <c r="G64" t="s">
        <v>643</v>
      </c>
    </row>
    <row r="65" spans="1:7" x14ac:dyDescent="0.35">
      <c r="A65" s="1">
        <v>42390</v>
      </c>
      <c r="B65" t="s">
        <v>75</v>
      </c>
      <c r="C65" t="s">
        <v>41</v>
      </c>
      <c r="D65" s="3" t="s">
        <v>111</v>
      </c>
      <c r="E65" s="3" t="s">
        <v>695</v>
      </c>
      <c r="F65" s="2">
        <v>3000</v>
      </c>
      <c r="G65" t="s">
        <v>643</v>
      </c>
    </row>
    <row r="66" spans="1:7" x14ac:dyDescent="0.35">
      <c r="A66" s="1">
        <v>42392</v>
      </c>
      <c r="B66" t="s">
        <v>112</v>
      </c>
      <c r="C66" t="s">
        <v>12</v>
      </c>
      <c r="D66" s="3" t="s">
        <v>113</v>
      </c>
      <c r="E66" s="3" t="s">
        <v>696</v>
      </c>
      <c r="F66">
        <v>400</v>
      </c>
      <c r="G66" t="s">
        <v>643</v>
      </c>
    </row>
    <row r="67" spans="1:7" x14ac:dyDescent="0.35">
      <c r="A67" s="1">
        <v>42392</v>
      </c>
      <c r="B67" t="s">
        <v>114</v>
      </c>
      <c r="C67" t="s">
        <v>12</v>
      </c>
      <c r="D67" s="3" t="s">
        <v>115</v>
      </c>
      <c r="E67" s="3" t="s">
        <v>697</v>
      </c>
      <c r="F67" s="2">
        <v>2600</v>
      </c>
      <c r="G67" t="s">
        <v>643</v>
      </c>
    </row>
    <row r="68" spans="1:7" x14ac:dyDescent="0.35">
      <c r="A68" s="1">
        <v>42393</v>
      </c>
      <c r="B68" t="s">
        <v>116</v>
      </c>
      <c r="C68" t="s">
        <v>12</v>
      </c>
      <c r="D68" s="3" t="s">
        <v>117</v>
      </c>
      <c r="E68" s="3" t="s">
        <v>698</v>
      </c>
      <c r="F68" s="2">
        <v>1000</v>
      </c>
      <c r="G68" t="s">
        <v>643</v>
      </c>
    </row>
    <row r="69" spans="1:7" x14ac:dyDescent="0.35">
      <c r="A69" s="1">
        <v>42394</v>
      </c>
      <c r="B69" t="s">
        <v>118</v>
      </c>
      <c r="C69" t="s">
        <v>6</v>
      </c>
      <c r="D69" s="3" t="s">
        <v>119</v>
      </c>
      <c r="E69" s="3" t="s">
        <v>699</v>
      </c>
      <c r="F69" s="2">
        <v>1000</v>
      </c>
      <c r="G69" t="s">
        <v>643</v>
      </c>
    </row>
    <row r="70" spans="1:7" x14ac:dyDescent="0.35">
      <c r="A70" s="1">
        <v>42395</v>
      </c>
      <c r="B70" t="s">
        <v>120</v>
      </c>
      <c r="C70" t="s">
        <v>12</v>
      </c>
      <c r="D70" s="3" t="s">
        <v>121</v>
      </c>
      <c r="E70" s="3" t="s">
        <v>700</v>
      </c>
      <c r="F70" s="2">
        <v>2000</v>
      </c>
      <c r="G70" t="s">
        <v>643</v>
      </c>
    </row>
    <row r="71" spans="1:7" x14ac:dyDescent="0.35">
      <c r="A71" s="1">
        <v>42395</v>
      </c>
      <c r="B71" t="s">
        <v>122</v>
      </c>
      <c r="C71" t="s">
        <v>12</v>
      </c>
      <c r="D71" s="3" t="s">
        <v>123</v>
      </c>
      <c r="E71" s="3" t="s">
        <v>701</v>
      </c>
      <c r="F71" s="2">
        <v>2149</v>
      </c>
      <c r="G71" t="s">
        <v>643</v>
      </c>
    </row>
    <row r="72" spans="1:7" x14ac:dyDescent="0.35">
      <c r="A72" s="1">
        <v>42396</v>
      </c>
      <c r="B72" t="s">
        <v>124</v>
      </c>
      <c r="C72" t="s">
        <v>10</v>
      </c>
      <c r="D72" s="3" t="s">
        <v>125</v>
      </c>
      <c r="E72" s="3" t="s">
        <v>702</v>
      </c>
      <c r="F72">
        <v>400</v>
      </c>
      <c r="G72" t="s">
        <v>643</v>
      </c>
    </row>
    <row r="73" spans="1:7" x14ac:dyDescent="0.35">
      <c r="A73" s="1">
        <v>42397</v>
      </c>
      <c r="B73" t="s">
        <v>72</v>
      </c>
      <c r="C73" t="s">
        <v>12</v>
      </c>
      <c r="D73" s="3" t="s">
        <v>126</v>
      </c>
      <c r="E73" s="3" t="s">
        <v>703</v>
      </c>
      <c r="F73">
        <v>700</v>
      </c>
      <c r="G73" t="s">
        <v>643</v>
      </c>
    </row>
    <row r="74" spans="1:7" x14ac:dyDescent="0.35">
      <c r="A74" s="1">
        <v>42398</v>
      </c>
      <c r="B74" t="s">
        <v>83</v>
      </c>
      <c r="C74" t="s">
        <v>6</v>
      </c>
      <c r="D74" s="3" t="s">
        <v>127</v>
      </c>
      <c r="E74" s="3" t="s">
        <v>704</v>
      </c>
      <c r="F74">
        <v>850</v>
      </c>
      <c r="G74" t="s">
        <v>643</v>
      </c>
    </row>
    <row r="75" spans="1:7" x14ac:dyDescent="0.35">
      <c r="A75" s="1">
        <v>42399</v>
      </c>
      <c r="B75" t="s">
        <v>128</v>
      </c>
      <c r="C75" t="s">
        <v>12</v>
      </c>
      <c r="D75" s="3" t="s">
        <v>129</v>
      </c>
      <c r="E75" s="3" t="s">
        <v>705</v>
      </c>
      <c r="F75" s="2">
        <v>1000</v>
      </c>
      <c r="G75" t="s">
        <v>643</v>
      </c>
    </row>
    <row r="76" spans="1:7" x14ac:dyDescent="0.35">
      <c r="A76" s="1">
        <v>42399</v>
      </c>
      <c r="B76" t="s">
        <v>68</v>
      </c>
      <c r="C76" t="s">
        <v>12</v>
      </c>
      <c r="D76" s="3" t="s">
        <v>130</v>
      </c>
      <c r="E76" s="3" t="s">
        <v>706</v>
      </c>
      <c r="F76" s="2">
        <v>2400</v>
      </c>
      <c r="G76" t="s">
        <v>643</v>
      </c>
    </row>
    <row r="77" spans="1:7" x14ac:dyDescent="0.35">
      <c r="A77" s="1">
        <v>42399</v>
      </c>
      <c r="B77" t="s">
        <v>17</v>
      </c>
      <c r="C77" t="s">
        <v>12</v>
      </c>
      <c r="D77" s="3" t="s">
        <v>131</v>
      </c>
      <c r="E77" s="3" t="s">
        <v>708</v>
      </c>
      <c r="F77" s="2">
        <v>1200</v>
      </c>
      <c r="G77" t="s">
        <v>643</v>
      </c>
    </row>
    <row r="78" spans="1:7" x14ac:dyDescent="0.35">
      <c r="A78" s="1">
        <v>42400</v>
      </c>
      <c r="B78" t="s">
        <v>85</v>
      </c>
      <c r="C78" t="s">
        <v>12</v>
      </c>
      <c r="D78" s="3" t="s">
        <v>132</v>
      </c>
      <c r="E78" s="3" t="s">
        <v>709</v>
      </c>
      <c r="F78" s="2">
        <v>2000</v>
      </c>
      <c r="G78" t="s">
        <v>643</v>
      </c>
    </row>
    <row r="79" spans="1:7" x14ac:dyDescent="0.35">
      <c r="A79" s="1">
        <v>42401</v>
      </c>
      <c r="B79" t="s">
        <v>78</v>
      </c>
      <c r="C79" t="s">
        <v>12</v>
      </c>
      <c r="D79" s="3" t="s">
        <v>133</v>
      </c>
      <c r="E79" s="3" t="s">
        <v>673</v>
      </c>
      <c r="F79" s="2">
        <v>1500</v>
      </c>
      <c r="G79" t="s">
        <v>643</v>
      </c>
    </row>
    <row r="80" spans="1:7" x14ac:dyDescent="0.35">
      <c r="A80" s="1">
        <v>42401</v>
      </c>
      <c r="B80" t="s">
        <v>30</v>
      </c>
      <c r="C80" t="s">
        <v>12</v>
      </c>
      <c r="D80" s="3" t="s">
        <v>134</v>
      </c>
      <c r="E80" s="3" t="s">
        <v>710</v>
      </c>
      <c r="F80">
        <v>300</v>
      </c>
      <c r="G80" t="s">
        <v>643</v>
      </c>
    </row>
    <row r="81" spans="1:7" x14ac:dyDescent="0.35">
      <c r="A81" s="1">
        <v>42402</v>
      </c>
      <c r="B81" t="s">
        <v>135</v>
      </c>
      <c r="C81" t="s">
        <v>6</v>
      </c>
      <c r="D81" s="3" t="s">
        <v>136</v>
      </c>
      <c r="E81" s="3" t="s">
        <v>711</v>
      </c>
      <c r="G81" t="s">
        <v>643</v>
      </c>
    </row>
    <row r="82" spans="1:7" x14ac:dyDescent="0.35">
      <c r="A82" s="1">
        <v>42403</v>
      </c>
      <c r="B82" t="s">
        <v>137</v>
      </c>
      <c r="C82" t="s">
        <v>138</v>
      </c>
      <c r="D82" s="3" t="s">
        <v>139</v>
      </c>
      <c r="E82" s="3" t="s">
        <v>712</v>
      </c>
      <c r="F82" s="2">
        <v>11500</v>
      </c>
      <c r="G82" t="s">
        <v>643</v>
      </c>
    </row>
    <row r="83" spans="1:7" x14ac:dyDescent="0.35">
      <c r="A83" s="1">
        <v>42404</v>
      </c>
      <c r="B83" t="s">
        <v>140</v>
      </c>
      <c r="C83" t="s">
        <v>6</v>
      </c>
      <c r="D83" s="3" t="s">
        <v>141</v>
      </c>
      <c r="E83" s="3" t="s">
        <v>713</v>
      </c>
      <c r="G83" t="s">
        <v>643</v>
      </c>
    </row>
    <row r="84" spans="1:7" x14ac:dyDescent="0.35">
      <c r="A84" s="1">
        <v>42404</v>
      </c>
      <c r="B84" t="s">
        <v>142</v>
      </c>
      <c r="C84" t="s">
        <v>6</v>
      </c>
      <c r="D84" s="3" t="s">
        <v>143</v>
      </c>
      <c r="E84" s="3" t="s">
        <v>714</v>
      </c>
      <c r="F84">
        <v>500</v>
      </c>
      <c r="G84" t="s">
        <v>643</v>
      </c>
    </row>
    <row r="85" spans="1:7" x14ac:dyDescent="0.35">
      <c r="A85" s="1">
        <v>42405</v>
      </c>
      <c r="B85" t="s">
        <v>144</v>
      </c>
      <c r="C85" t="s">
        <v>10</v>
      </c>
      <c r="D85" s="3" t="s">
        <v>145</v>
      </c>
      <c r="E85" s="3" t="s">
        <v>715</v>
      </c>
      <c r="F85">
        <v>2000</v>
      </c>
      <c r="G85" t="s">
        <v>643</v>
      </c>
    </row>
    <row r="86" spans="1:7" x14ac:dyDescent="0.35">
      <c r="A86" s="1">
        <v>42407</v>
      </c>
      <c r="B86" t="s">
        <v>146</v>
      </c>
      <c r="C86" t="s">
        <v>6</v>
      </c>
      <c r="D86" s="3" t="s">
        <v>147</v>
      </c>
      <c r="E86" s="3" t="s">
        <v>716</v>
      </c>
      <c r="F86" s="2">
        <v>2500</v>
      </c>
      <c r="G86" t="s">
        <v>643</v>
      </c>
    </row>
    <row r="87" spans="1:7" x14ac:dyDescent="0.35">
      <c r="A87" s="1">
        <v>42408</v>
      </c>
      <c r="B87" t="s">
        <v>148</v>
      </c>
      <c r="C87" t="s">
        <v>6</v>
      </c>
      <c r="D87" s="3" t="s">
        <v>149</v>
      </c>
      <c r="E87" s="3" t="s">
        <v>717</v>
      </c>
      <c r="F87">
        <v>200</v>
      </c>
      <c r="G87" t="s">
        <v>643</v>
      </c>
    </row>
    <row r="88" spans="1:7" x14ac:dyDescent="0.35">
      <c r="A88" s="1">
        <v>42408</v>
      </c>
      <c r="B88" t="s">
        <v>5</v>
      </c>
      <c r="C88" t="s">
        <v>6</v>
      </c>
      <c r="D88" s="3" t="s">
        <v>150</v>
      </c>
      <c r="E88" s="3" t="s">
        <v>718</v>
      </c>
      <c r="F88" s="2">
        <v>5000</v>
      </c>
      <c r="G88" t="s">
        <v>643</v>
      </c>
    </row>
    <row r="89" spans="1:7" x14ac:dyDescent="0.35">
      <c r="A89" s="1">
        <v>42408</v>
      </c>
      <c r="B89" t="s">
        <v>151</v>
      </c>
      <c r="C89" t="s">
        <v>6</v>
      </c>
      <c r="D89" s="3" t="s">
        <v>152</v>
      </c>
      <c r="E89" s="3" t="s">
        <v>719</v>
      </c>
      <c r="F89">
        <v>200</v>
      </c>
      <c r="G89" t="s">
        <v>643</v>
      </c>
    </row>
    <row r="90" spans="1:7" x14ac:dyDescent="0.35">
      <c r="A90" s="1">
        <v>42410</v>
      </c>
      <c r="B90" t="s">
        <v>153</v>
      </c>
      <c r="C90" t="s">
        <v>10</v>
      </c>
      <c r="D90" s="3" t="s">
        <v>154</v>
      </c>
      <c r="E90" s="3" t="s">
        <v>720</v>
      </c>
      <c r="F90" s="2">
        <v>5000</v>
      </c>
      <c r="G90" t="s">
        <v>643</v>
      </c>
    </row>
    <row r="91" spans="1:7" x14ac:dyDescent="0.35">
      <c r="A91" s="1">
        <v>42411</v>
      </c>
      <c r="B91" t="s">
        <v>155</v>
      </c>
      <c r="C91" t="s">
        <v>156</v>
      </c>
      <c r="D91" s="3" t="s">
        <v>157</v>
      </c>
      <c r="E91" s="3" t="s">
        <v>721</v>
      </c>
      <c r="F91" s="2">
        <v>10000</v>
      </c>
      <c r="G91" t="s">
        <v>643</v>
      </c>
    </row>
    <row r="92" spans="1:7" x14ac:dyDescent="0.35">
      <c r="A92" s="1">
        <v>42412</v>
      </c>
      <c r="B92" t="s">
        <v>158</v>
      </c>
      <c r="C92" t="s">
        <v>36</v>
      </c>
      <c r="D92" s="3" t="s">
        <v>159</v>
      </c>
      <c r="E92" s="3" t="s">
        <v>722</v>
      </c>
      <c r="F92" s="2">
        <v>10000</v>
      </c>
      <c r="G92" t="s">
        <v>643</v>
      </c>
    </row>
    <row r="93" spans="1:7" x14ac:dyDescent="0.35">
      <c r="A93" s="1">
        <v>42415</v>
      </c>
      <c r="B93" t="s">
        <v>19</v>
      </c>
      <c r="C93" t="s">
        <v>10</v>
      </c>
      <c r="D93" s="3" t="s">
        <v>20</v>
      </c>
      <c r="E93" s="3" t="s">
        <v>634</v>
      </c>
      <c r="F93">
        <v>2000</v>
      </c>
      <c r="G93" t="s">
        <v>643</v>
      </c>
    </row>
    <row r="94" spans="1:7" x14ac:dyDescent="0.35">
      <c r="A94" s="1">
        <v>42416</v>
      </c>
      <c r="B94" t="s">
        <v>160</v>
      </c>
      <c r="C94" t="s">
        <v>10</v>
      </c>
      <c r="D94" s="3" t="s">
        <v>161</v>
      </c>
      <c r="E94" s="3" t="s">
        <v>723</v>
      </c>
      <c r="F94" s="2">
        <v>20000</v>
      </c>
      <c r="G94" t="s">
        <v>643</v>
      </c>
    </row>
    <row r="95" spans="1:7" x14ac:dyDescent="0.35">
      <c r="A95" s="1">
        <v>42416</v>
      </c>
      <c r="B95" t="s">
        <v>162</v>
      </c>
      <c r="C95" t="s">
        <v>10</v>
      </c>
      <c r="D95" s="3" t="s">
        <v>163</v>
      </c>
      <c r="E95" s="3" t="s">
        <v>724</v>
      </c>
      <c r="F95" s="2">
        <v>2000</v>
      </c>
      <c r="G95" t="s">
        <v>643</v>
      </c>
    </row>
    <row r="96" spans="1:7" x14ac:dyDescent="0.35">
      <c r="A96" s="1">
        <v>42417</v>
      </c>
      <c r="B96" t="s">
        <v>164</v>
      </c>
      <c r="C96" t="s">
        <v>10</v>
      </c>
      <c r="D96" s="3" t="s">
        <v>165</v>
      </c>
      <c r="E96" s="3" t="s">
        <v>725</v>
      </c>
      <c r="F96" s="2">
        <v>4000</v>
      </c>
      <c r="G96" t="s">
        <v>643</v>
      </c>
    </row>
    <row r="97" spans="1:7" x14ac:dyDescent="0.35">
      <c r="A97" s="1">
        <v>42417</v>
      </c>
      <c r="B97" t="s">
        <v>166</v>
      </c>
      <c r="C97" t="s">
        <v>10</v>
      </c>
      <c r="D97" s="3" t="s">
        <v>167</v>
      </c>
      <c r="E97" s="3" t="s">
        <v>726</v>
      </c>
      <c r="F97" s="2">
        <v>4000</v>
      </c>
      <c r="G97" t="s">
        <v>643</v>
      </c>
    </row>
    <row r="98" spans="1:7" x14ac:dyDescent="0.35">
      <c r="A98" s="1">
        <v>42418</v>
      </c>
      <c r="B98" t="s">
        <v>168</v>
      </c>
      <c r="C98" t="s">
        <v>10</v>
      </c>
      <c r="D98" s="3" t="s">
        <v>169</v>
      </c>
      <c r="E98" s="3" t="s">
        <v>727</v>
      </c>
      <c r="G98" t="s">
        <v>643</v>
      </c>
    </row>
    <row r="99" spans="1:7" x14ac:dyDescent="0.35">
      <c r="A99" s="1">
        <v>42418</v>
      </c>
      <c r="B99" t="s">
        <v>170</v>
      </c>
      <c r="C99" t="s">
        <v>10</v>
      </c>
      <c r="D99" s="3" t="s">
        <v>171</v>
      </c>
      <c r="E99" s="3" t="s">
        <v>728</v>
      </c>
      <c r="G99" t="s">
        <v>643</v>
      </c>
    </row>
    <row r="100" spans="1:7" x14ac:dyDescent="0.35">
      <c r="A100" s="1">
        <v>42419</v>
      </c>
      <c r="B100" t="s">
        <v>172</v>
      </c>
      <c r="C100" t="s">
        <v>10</v>
      </c>
      <c r="D100" s="3" t="s">
        <v>173</v>
      </c>
      <c r="E100" s="3" t="s">
        <v>729</v>
      </c>
      <c r="F100" s="2">
        <v>2000</v>
      </c>
      <c r="G100" t="s">
        <v>643</v>
      </c>
    </row>
    <row r="101" spans="1:7" x14ac:dyDescent="0.35">
      <c r="A101" s="1">
        <v>42419</v>
      </c>
      <c r="B101" t="s">
        <v>58</v>
      </c>
      <c r="C101" t="s">
        <v>10</v>
      </c>
      <c r="D101" s="3" t="s">
        <v>174</v>
      </c>
      <c r="E101" s="3" t="s">
        <v>730</v>
      </c>
      <c r="F101" s="2">
        <v>12000</v>
      </c>
      <c r="G101" t="s">
        <v>643</v>
      </c>
    </row>
    <row r="102" spans="1:7" x14ac:dyDescent="0.35">
      <c r="A102" s="1">
        <v>42419</v>
      </c>
      <c r="B102" t="s">
        <v>175</v>
      </c>
      <c r="C102" t="s">
        <v>10</v>
      </c>
      <c r="D102" s="3" t="s">
        <v>176</v>
      </c>
      <c r="E102" s="3" t="s">
        <v>731</v>
      </c>
      <c r="F102" s="2">
        <v>1000</v>
      </c>
      <c r="G102" t="s">
        <v>643</v>
      </c>
    </row>
    <row r="103" spans="1:7" x14ac:dyDescent="0.35">
      <c r="A103" s="1">
        <v>42421</v>
      </c>
      <c r="B103" t="s">
        <v>177</v>
      </c>
      <c r="C103" t="s">
        <v>32</v>
      </c>
      <c r="D103" s="3" t="s">
        <v>178</v>
      </c>
      <c r="E103" s="3" t="s">
        <v>732</v>
      </c>
      <c r="G103" t="s">
        <v>643</v>
      </c>
    </row>
    <row r="104" spans="1:7" x14ac:dyDescent="0.35">
      <c r="A104" s="1">
        <v>42422</v>
      </c>
      <c r="B104" t="s">
        <v>75</v>
      </c>
      <c r="C104" t="s">
        <v>41</v>
      </c>
      <c r="D104" s="3" t="s">
        <v>111</v>
      </c>
      <c r="E104" s="3" t="s">
        <v>695</v>
      </c>
      <c r="G104" t="s">
        <v>643</v>
      </c>
    </row>
    <row r="105" spans="1:7" x14ac:dyDescent="0.35">
      <c r="A105" s="1">
        <v>42423</v>
      </c>
      <c r="B105" t="s">
        <v>40</v>
      </c>
      <c r="C105" t="s">
        <v>41</v>
      </c>
      <c r="D105" s="3" t="s">
        <v>179</v>
      </c>
      <c r="E105" s="3" t="s">
        <v>651</v>
      </c>
      <c r="F105" s="2">
        <v>3016</v>
      </c>
      <c r="G105" t="s">
        <v>643</v>
      </c>
    </row>
    <row r="106" spans="1:7" x14ac:dyDescent="0.35">
      <c r="A106" s="1">
        <v>42426</v>
      </c>
      <c r="B106" t="s">
        <v>24</v>
      </c>
      <c r="C106" t="s">
        <v>25</v>
      </c>
      <c r="D106" s="3" t="s">
        <v>180</v>
      </c>
      <c r="E106" s="3" t="s">
        <v>733</v>
      </c>
      <c r="F106" s="2">
        <v>7000</v>
      </c>
      <c r="G106" t="s">
        <v>643</v>
      </c>
    </row>
    <row r="107" spans="1:7" x14ac:dyDescent="0.35">
      <c r="A107" s="1">
        <v>42427</v>
      </c>
      <c r="B107" t="s">
        <v>181</v>
      </c>
      <c r="C107" t="s">
        <v>138</v>
      </c>
      <c r="D107" s="3" t="s">
        <v>182</v>
      </c>
      <c r="E107" s="3" t="s">
        <v>734</v>
      </c>
      <c r="F107" s="2">
        <v>5000</v>
      </c>
      <c r="G107" t="s">
        <v>643</v>
      </c>
    </row>
    <row r="108" spans="1:7" x14ac:dyDescent="0.35">
      <c r="A108" s="1">
        <v>42427</v>
      </c>
      <c r="B108" t="s">
        <v>183</v>
      </c>
      <c r="C108" t="s">
        <v>22</v>
      </c>
      <c r="D108" s="3" t="s">
        <v>184</v>
      </c>
      <c r="E108" s="3" t="s">
        <v>735</v>
      </c>
      <c r="F108" s="2">
        <v>8000</v>
      </c>
      <c r="G108" t="s">
        <v>643</v>
      </c>
    </row>
    <row r="109" spans="1:7" x14ac:dyDescent="0.35">
      <c r="A109" s="1">
        <v>42427</v>
      </c>
      <c r="B109" t="s">
        <v>185</v>
      </c>
      <c r="C109" t="s">
        <v>28</v>
      </c>
      <c r="D109" s="3" t="s">
        <v>186</v>
      </c>
      <c r="E109" s="3" t="s">
        <v>736</v>
      </c>
      <c r="F109" s="2">
        <v>10000</v>
      </c>
      <c r="G109" t="s">
        <v>643</v>
      </c>
    </row>
    <row r="110" spans="1:7" x14ac:dyDescent="0.35">
      <c r="A110" s="1">
        <v>42428</v>
      </c>
      <c r="B110" t="s">
        <v>187</v>
      </c>
      <c r="C110" t="s">
        <v>15</v>
      </c>
      <c r="D110" s="3" t="s">
        <v>188</v>
      </c>
      <c r="E110" s="3" t="s">
        <v>737</v>
      </c>
      <c r="G110" t="s">
        <v>643</v>
      </c>
    </row>
    <row r="111" spans="1:7" x14ac:dyDescent="0.35">
      <c r="A111" s="1">
        <v>42429</v>
      </c>
      <c r="B111" t="s">
        <v>189</v>
      </c>
      <c r="C111" t="s">
        <v>43</v>
      </c>
      <c r="D111" s="3" t="s">
        <v>190</v>
      </c>
      <c r="E111" s="3" t="s">
        <v>738</v>
      </c>
      <c r="F111" s="2">
        <v>3800</v>
      </c>
      <c r="G111" t="s">
        <v>643</v>
      </c>
    </row>
    <row r="112" spans="1:7" x14ac:dyDescent="0.35">
      <c r="A112" s="1">
        <v>42429</v>
      </c>
      <c r="B112" t="s">
        <v>191</v>
      </c>
      <c r="C112" t="s">
        <v>32</v>
      </c>
      <c r="D112" s="3" t="s">
        <v>192</v>
      </c>
      <c r="E112" s="3" t="s">
        <v>739</v>
      </c>
      <c r="F112" s="2">
        <v>7500</v>
      </c>
      <c r="G112" t="s">
        <v>643</v>
      </c>
    </row>
    <row r="113" spans="1:7" x14ac:dyDescent="0.35">
      <c r="A113" s="1">
        <v>42430</v>
      </c>
      <c r="B113" t="s">
        <v>55</v>
      </c>
      <c r="C113" t="s">
        <v>56</v>
      </c>
      <c r="D113" s="3" t="s">
        <v>193</v>
      </c>
      <c r="E113" s="3" t="s">
        <v>740</v>
      </c>
      <c r="F113" s="2">
        <v>4000</v>
      </c>
      <c r="G113" t="s">
        <v>643</v>
      </c>
    </row>
    <row r="114" spans="1:7" x14ac:dyDescent="0.35">
      <c r="A114" s="1">
        <v>42430</v>
      </c>
      <c r="B114" t="s">
        <v>194</v>
      </c>
      <c r="C114" t="s">
        <v>195</v>
      </c>
      <c r="D114" s="3" t="s">
        <v>196</v>
      </c>
      <c r="E114" s="3" t="s">
        <v>741</v>
      </c>
      <c r="F114" s="2">
        <v>5000</v>
      </c>
      <c r="G114" t="s">
        <v>643</v>
      </c>
    </row>
    <row r="115" spans="1:7" x14ac:dyDescent="0.35">
      <c r="A115" s="1">
        <v>42432</v>
      </c>
      <c r="B115" t="s">
        <v>197</v>
      </c>
      <c r="C115" t="s">
        <v>198</v>
      </c>
      <c r="D115" s="3" t="s">
        <v>199</v>
      </c>
      <c r="E115" s="3" t="s">
        <v>742</v>
      </c>
      <c r="F115" s="2">
        <v>1100</v>
      </c>
      <c r="G115" t="s">
        <v>643</v>
      </c>
    </row>
    <row r="116" spans="1:7" x14ac:dyDescent="0.35">
      <c r="A116" s="1">
        <v>42433</v>
      </c>
      <c r="B116" t="s">
        <v>200</v>
      </c>
      <c r="C116" t="s">
        <v>81</v>
      </c>
      <c r="D116" s="3" t="s">
        <v>201</v>
      </c>
      <c r="E116" s="3" t="s">
        <v>743</v>
      </c>
      <c r="F116" s="2">
        <v>4000</v>
      </c>
      <c r="G116" t="s">
        <v>643</v>
      </c>
    </row>
    <row r="117" spans="1:7" x14ac:dyDescent="0.35">
      <c r="A117" s="1">
        <v>42433</v>
      </c>
      <c r="B117" t="s">
        <v>202</v>
      </c>
      <c r="C117" t="s">
        <v>81</v>
      </c>
      <c r="D117" s="3" t="s">
        <v>203</v>
      </c>
      <c r="E117" s="3" t="s">
        <v>744</v>
      </c>
      <c r="F117" s="2">
        <v>3500</v>
      </c>
      <c r="G117" t="s">
        <v>643</v>
      </c>
    </row>
    <row r="118" spans="1:7" x14ac:dyDescent="0.35">
      <c r="A118" s="1">
        <v>42433</v>
      </c>
      <c r="B118" t="s">
        <v>204</v>
      </c>
      <c r="C118" t="s">
        <v>156</v>
      </c>
      <c r="D118" s="3" t="s">
        <v>205</v>
      </c>
      <c r="E118" s="3" t="s">
        <v>745</v>
      </c>
      <c r="F118" s="2">
        <v>4000</v>
      </c>
      <c r="G118" t="s">
        <v>643</v>
      </c>
    </row>
    <row r="119" spans="1:7" x14ac:dyDescent="0.35">
      <c r="A119" s="1">
        <v>42434</v>
      </c>
      <c r="B119" t="s">
        <v>206</v>
      </c>
      <c r="C119" t="s">
        <v>36</v>
      </c>
      <c r="D119" s="3" t="s">
        <v>207</v>
      </c>
      <c r="E119" s="3" t="s">
        <v>746</v>
      </c>
      <c r="F119" s="2">
        <v>10000</v>
      </c>
      <c r="G119" t="s">
        <v>643</v>
      </c>
    </row>
    <row r="120" spans="1:7" x14ac:dyDescent="0.35">
      <c r="A120" s="1">
        <v>42434</v>
      </c>
      <c r="B120" t="s">
        <v>208</v>
      </c>
      <c r="C120" t="s">
        <v>209</v>
      </c>
      <c r="D120" s="3" t="s">
        <v>210</v>
      </c>
      <c r="E120" s="3" t="s">
        <v>747</v>
      </c>
      <c r="G120" t="s">
        <v>643</v>
      </c>
    </row>
    <row r="121" spans="1:7" x14ac:dyDescent="0.35">
      <c r="A121" s="1">
        <v>42436</v>
      </c>
      <c r="B121" t="s">
        <v>105</v>
      </c>
      <c r="C121" t="s">
        <v>66</v>
      </c>
      <c r="D121" s="3" t="s">
        <v>211</v>
      </c>
      <c r="E121" s="3" t="s">
        <v>748</v>
      </c>
      <c r="F121" s="2">
        <v>3000</v>
      </c>
      <c r="G121" t="s">
        <v>643</v>
      </c>
    </row>
    <row r="122" spans="1:7" x14ac:dyDescent="0.35">
      <c r="A122" s="1">
        <v>42436</v>
      </c>
      <c r="B122" t="s">
        <v>187</v>
      </c>
      <c r="C122" t="s">
        <v>88</v>
      </c>
      <c r="D122" s="3" t="s">
        <v>212</v>
      </c>
      <c r="E122" s="3" t="s">
        <v>749</v>
      </c>
      <c r="F122" s="2">
        <v>9000</v>
      </c>
      <c r="G122" t="s">
        <v>643</v>
      </c>
    </row>
    <row r="123" spans="1:7" x14ac:dyDescent="0.35">
      <c r="A123" s="1">
        <v>42438</v>
      </c>
      <c r="B123" t="s">
        <v>213</v>
      </c>
      <c r="C123" t="s">
        <v>66</v>
      </c>
      <c r="D123" s="3" t="s">
        <v>214</v>
      </c>
      <c r="E123" s="3" t="s">
        <v>750</v>
      </c>
      <c r="F123" s="2">
        <v>11000</v>
      </c>
      <c r="G123" t="s">
        <v>643</v>
      </c>
    </row>
    <row r="124" spans="1:7" x14ac:dyDescent="0.35">
      <c r="A124" s="1">
        <v>42440</v>
      </c>
      <c r="B124" t="s">
        <v>215</v>
      </c>
      <c r="C124" t="s">
        <v>216</v>
      </c>
      <c r="D124" s="3" t="s">
        <v>217</v>
      </c>
      <c r="E124" s="3" t="s">
        <v>751</v>
      </c>
      <c r="F124" s="2">
        <v>3100</v>
      </c>
      <c r="G124" t="s">
        <v>643</v>
      </c>
    </row>
    <row r="125" spans="1:7" x14ac:dyDescent="0.35">
      <c r="A125" s="1">
        <v>42441</v>
      </c>
      <c r="B125" t="s">
        <v>218</v>
      </c>
      <c r="C125" t="s">
        <v>56</v>
      </c>
      <c r="D125" s="3" t="s">
        <v>219</v>
      </c>
      <c r="E125" s="3" t="s">
        <v>752</v>
      </c>
      <c r="F125" s="2">
        <v>29000</v>
      </c>
      <c r="G125" t="s">
        <v>643</v>
      </c>
    </row>
    <row r="126" spans="1:7" x14ac:dyDescent="0.35">
      <c r="A126" s="1">
        <v>42441</v>
      </c>
      <c r="B126" t="s">
        <v>220</v>
      </c>
      <c r="C126" t="s">
        <v>56</v>
      </c>
      <c r="D126" s="3" t="s">
        <v>221</v>
      </c>
      <c r="E126" s="3" t="s">
        <v>753</v>
      </c>
      <c r="F126" s="2">
        <v>20000</v>
      </c>
      <c r="G126" t="s">
        <v>643</v>
      </c>
    </row>
    <row r="127" spans="1:7" x14ac:dyDescent="0.35">
      <c r="A127" s="1">
        <v>42441</v>
      </c>
      <c r="B127" t="s">
        <v>222</v>
      </c>
      <c r="C127" t="s">
        <v>216</v>
      </c>
      <c r="D127" s="3" t="s">
        <v>223</v>
      </c>
      <c r="E127" s="3" t="s">
        <v>754</v>
      </c>
      <c r="F127" s="2">
        <v>7000</v>
      </c>
      <c r="G127" t="s">
        <v>643</v>
      </c>
    </row>
    <row r="128" spans="1:7" x14ac:dyDescent="0.35">
      <c r="A128" s="1">
        <v>42442</v>
      </c>
      <c r="B128" t="s">
        <v>224</v>
      </c>
      <c r="C128" t="s">
        <v>46</v>
      </c>
      <c r="D128" s="3" t="s">
        <v>225</v>
      </c>
      <c r="E128" s="3" t="s">
        <v>755</v>
      </c>
      <c r="F128" s="2">
        <v>3000</v>
      </c>
      <c r="G128" t="s">
        <v>643</v>
      </c>
    </row>
    <row r="129" spans="1:7" x14ac:dyDescent="0.35">
      <c r="A129" s="1">
        <v>42442</v>
      </c>
      <c r="B129" t="s">
        <v>226</v>
      </c>
      <c r="C129" t="s">
        <v>36</v>
      </c>
      <c r="D129" s="3" t="s">
        <v>227</v>
      </c>
      <c r="E129" s="3" t="s">
        <v>756</v>
      </c>
      <c r="F129" s="2">
        <v>6000</v>
      </c>
      <c r="G129" t="s">
        <v>643</v>
      </c>
    </row>
    <row r="130" spans="1:7" x14ac:dyDescent="0.35">
      <c r="A130" s="1">
        <v>42443</v>
      </c>
      <c r="B130" t="s">
        <v>158</v>
      </c>
      <c r="C130" t="s">
        <v>36</v>
      </c>
      <c r="D130" s="3" t="s">
        <v>228</v>
      </c>
      <c r="E130" s="3" t="s">
        <v>757</v>
      </c>
      <c r="F130" s="2">
        <v>1500</v>
      </c>
      <c r="G130" t="s">
        <v>643</v>
      </c>
    </row>
    <row r="131" spans="1:7" x14ac:dyDescent="0.35">
      <c r="A131" s="1">
        <v>42443</v>
      </c>
      <c r="B131" t="s">
        <v>229</v>
      </c>
      <c r="C131" t="s">
        <v>56</v>
      </c>
      <c r="D131" s="3" t="s">
        <v>230</v>
      </c>
      <c r="E131" s="3" t="s">
        <v>758</v>
      </c>
      <c r="F131" s="2">
        <v>2500</v>
      </c>
      <c r="G131" t="s">
        <v>643</v>
      </c>
    </row>
    <row r="132" spans="1:7" x14ac:dyDescent="0.35">
      <c r="A132" s="1">
        <v>42447</v>
      </c>
      <c r="B132" t="s">
        <v>231</v>
      </c>
      <c r="C132" t="s">
        <v>232</v>
      </c>
      <c r="D132" s="3" t="s">
        <v>233</v>
      </c>
      <c r="E132" s="3" t="s">
        <v>759</v>
      </c>
      <c r="F132" s="2">
        <v>1200</v>
      </c>
      <c r="G132" t="s">
        <v>643</v>
      </c>
    </row>
    <row r="133" spans="1:7" x14ac:dyDescent="0.35">
      <c r="A133" s="1">
        <v>42448</v>
      </c>
      <c r="B133" t="s">
        <v>234</v>
      </c>
      <c r="C133" t="s">
        <v>8</v>
      </c>
      <c r="D133" s="3" t="s">
        <v>235</v>
      </c>
      <c r="E133" s="3" t="s">
        <v>760</v>
      </c>
      <c r="F133" s="2">
        <v>10000</v>
      </c>
      <c r="G133" t="s">
        <v>643</v>
      </c>
    </row>
    <row r="134" spans="1:7" x14ac:dyDescent="0.35">
      <c r="A134" s="1">
        <v>42448</v>
      </c>
      <c r="B134" t="s">
        <v>236</v>
      </c>
      <c r="C134" t="s">
        <v>8</v>
      </c>
      <c r="D134" s="3" t="s">
        <v>237</v>
      </c>
      <c r="E134" s="3" t="s">
        <v>761</v>
      </c>
      <c r="F134" s="2">
        <v>5000</v>
      </c>
      <c r="G134" t="s">
        <v>643</v>
      </c>
    </row>
    <row r="135" spans="1:7" x14ac:dyDescent="0.35">
      <c r="A135" s="1">
        <v>42458</v>
      </c>
      <c r="B135" t="s">
        <v>238</v>
      </c>
      <c r="C135" t="s">
        <v>239</v>
      </c>
      <c r="D135" s="3" t="s">
        <v>240</v>
      </c>
      <c r="E135" s="3" t="s">
        <v>762</v>
      </c>
      <c r="F135" s="2">
        <v>1000</v>
      </c>
      <c r="G135" t="s">
        <v>643</v>
      </c>
    </row>
    <row r="136" spans="1:7" x14ac:dyDescent="0.35">
      <c r="A136" s="1">
        <v>42459</v>
      </c>
      <c r="B136" t="s">
        <v>241</v>
      </c>
      <c r="C136" t="s">
        <v>239</v>
      </c>
      <c r="D136" s="3" t="s">
        <v>242</v>
      </c>
      <c r="E136" s="3" t="s">
        <v>763</v>
      </c>
      <c r="F136" s="2">
        <v>1000</v>
      </c>
      <c r="G136" t="s">
        <v>643</v>
      </c>
    </row>
    <row r="137" spans="1:7" x14ac:dyDescent="0.35">
      <c r="A137" s="1">
        <v>42459</v>
      </c>
      <c r="B137" t="s">
        <v>243</v>
      </c>
      <c r="C137" t="s">
        <v>239</v>
      </c>
      <c r="D137" s="3" t="s">
        <v>244</v>
      </c>
      <c r="E137" s="3" t="s">
        <v>764</v>
      </c>
      <c r="F137">
        <v>750</v>
      </c>
      <c r="G137" t="s">
        <v>643</v>
      </c>
    </row>
    <row r="138" spans="1:7" x14ac:dyDescent="0.35">
      <c r="A138" s="1">
        <v>42462</v>
      </c>
      <c r="B138" t="s">
        <v>245</v>
      </c>
      <c r="C138" t="s">
        <v>239</v>
      </c>
      <c r="D138" s="3" t="s">
        <v>246</v>
      </c>
      <c r="E138" s="3" t="s">
        <v>765</v>
      </c>
      <c r="F138" s="2">
        <v>1500</v>
      </c>
      <c r="G138" t="s">
        <v>643</v>
      </c>
    </row>
    <row r="139" spans="1:7" x14ac:dyDescent="0.35">
      <c r="A139" s="1">
        <v>42462</v>
      </c>
      <c r="B139" t="s">
        <v>247</v>
      </c>
      <c r="C139" t="s">
        <v>239</v>
      </c>
      <c r="D139" s="3" t="s">
        <v>248</v>
      </c>
      <c r="E139" s="3" t="s">
        <v>766</v>
      </c>
      <c r="F139" s="2">
        <v>1200</v>
      </c>
      <c r="G139" t="s">
        <v>643</v>
      </c>
    </row>
    <row r="140" spans="1:7" x14ac:dyDescent="0.35">
      <c r="A140" s="1">
        <v>42462</v>
      </c>
      <c r="B140" t="s">
        <v>249</v>
      </c>
      <c r="C140" t="s">
        <v>239</v>
      </c>
      <c r="D140" s="3" t="s">
        <v>250</v>
      </c>
      <c r="E140" s="3" t="s">
        <v>767</v>
      </c>
      <c r="F140" s="2">
        <v>1700</v>
      </c>
      <c r="G140" t="s">
        <v>643</v>
      </c>
    </row>
    <row r="141" spans="1:7" x14ac:dyDescent="0.35">
      <c r="A141" s="1">
        <v>42463</v>
      </c>
      <c r="B141" t="s">
        <v>251</v>
      </c>
      <c r="C141" t="s">
        <v>239</v>
      </c>
      <c r="D141" s="3" t="s">
        <v>252</v>
      </c>
      <c r="E141" s="3" t="s">
        <v>768</v>
      </c>
      <c r="F141" s="2">
        <v>1000</v>
      </c>
      <c r="G141" t="s">
        <v>643</v>
      </c>
    </row>
    <row r="142" spans="1:7" x14ac:dyDescent="0.35">
      <c r="A142" s="1">
        <v>42464</v>
      </c>
      <c r="B142" t="s">
        <v>253</v>
      </c>
      <c r="C142" t="s">
        <v>239</v>
      </c>
      <c r="D142" s="3" t="s">
        <v>254</v>
      </c>
      <c r="E142" s="3" t="s">
        <v>769</v>
      </c>
      <c r="F142" s="2">
        <v>1700</v>
      </c>
      <c r="G142" t="s">
        <v>643</v>
      </c>
    </row>
    <row r="143" spans="1:7" x14ac:dyDescent="0.35">
      <c r="A143" s="1">
        <v>42464</v>
      </c>
      <c r="B143" t="s">
        <v>255</v>
      </c>
      <c r="C143" t="s">
        <v>239</v>
      </c>
      <c r="D143" s="3" t="s">
        <v>256</v>
      </c>
      <c r="E143" s="3" t="s">
        <v>770</v>
      </c>
      <c r="G143" t="s">
        <v>643</v>
      </c>
    </row>
    <row r="144" spans="1:7" x14ac:dyDescent="0.35">
      <c r="A144" s="1">
        <v>42464</v>
      </c>
      <c r="B144" t="s">
        <v>257</v>
      </c>
      <c r="C144" t="s">
        <v>239</v>
      </c>
      <c r="D144" s="3" t="s">
        <v>258</v>
      </c>
      <c r="E144" s="3" t="s">
        <v>771</v>
      </c>
      <c r="F144" s="2">
        <v>1000</v>
      </c>
      <c r="G144" t="s">
        <v>643</v>
      </c>
    </row>
    <row r="145" spans="1:7" x14ac:dyDescent="0.35">
      <c r="A145" s="1">
        <v>42466</v>
      </c>
      <c r="B145" t="s">
        <v>259</v>
      </c>
      <c r="C145" t="s">
        <v>4</v>
      </c>
      <c r="D145" s="3" t="s">
        <v>260</v>
      </c>
      <c r="E145" s="3" t="s">
        <v>772</v>
      </c>
      <c r="F145" s="2">
        <v>10000</v>
      </c>
      <c r="G145" t="s">
        <v>643</v>
      </c>
    </row>
    <row r="146" spans="1:7" x14ac:dyDescent="0.35">
      <c r="A146" s="1">
        <v>42470</v>
      </c>
      <c r="B146" t="s">
        <v>261</v>
      </c>
      <c r="C146" t="s">
        <v>4</v>
      </c>
      <c r="D146" s="3" t="s">
        <v>262</v>
      </c>
      <c r="E146" s="3" t="s">
        <v>773</v>
      </c>
      <c r="F146" s="2">
        <v>9000</v>
      </c>
      <c r="G146" t="s">
        <v>643</v>
      </c>
    </row>
    <row r="147" spans="1:7" x14ac:dyDescent="0.35">
      <c r="A147" s="1">
        <v>42471</v>
      </c>
      <c r="B147" t="s">
        <v>263</v>
      </c>
      <c r="C147" t="s">
        <v>4</v>
      </c>
      <c r="D147" s="3" t="s">
        <v>264</v>
      </c>
      <c r="E147" s="3" t="s">
        <v>774</v>
      </c>
      <c r="F147" s="2">
        <v>10000</v>
      </c>
      <c r="G147" t="s">
        <v>643</v>
      </c>
    </row>
    <row r="148" spans="1:7" x14ac:dyDescent="0.35">
      <c r="A148" s="1">
        <v>42472</v>
      </c>
      <c r="B148" t="s">
        <v>265</v>
      </c>
      <c r="C148" t="s">
        <v>4</v>
      </c>
      <c r="D148" s="3" t="s">
        <v>266</v>
      </c>
      <c r="E148" s="3" t="s">
        <v>775</v>
      </c>
      <c r="F148" s="2">
        <v>5000</v>
      </c>
      <c r="G148" t="s">
        <v>643</v>
      </c>
    </row>
    <row r="149" spans="1:7" x14ac:dyDescent="0.35">
      <c r="A149" s="1">
        <v>42473</v>
      </c>
      <c r="B149" t="s">
        <v>267</v>
      </c>
      <c r="C149" t="s">
        <v>268</v>
      </c>
      <c r="D149" s="3" t="s">
        <v>269</v>
      </c>
      <c r="E149" s="3" t="s">
        <v>776</v>
      </c>
      <c r="F149" s="2">
        <v>4500</v>
      </c>
      <c r="G149" t="s">
        <v>643</v>
      </c>
    </row>
    <row r="150" spans="1:7" x14ac:dyDescent="0.35">
      <c r="A150" s="1">
        <v>42475</v>
      </c>
      <c r="B150" t="s">
        <v>270</v>
      </c>
      <c r="C150" t="s">
        <v>271</v>
      </c>
      <c r="D150" s="3" t="s">
        <v>272</v>
      </c>
      <c r="E150" s="3" t="s">
        <v>777</v>
      </c>
      <c r="F150" s="2">
        <v>7000</v>
      </c>
      <c r="G150" t="s">
        <v>643</v>
      </c>
    </row>
    <row r="151" spans="1:7" x14ac:dyDescent="0.35">
      <c r="A151" s="1">
        <v>42475</v>
      </c>
      <c r="B151" t="s">
        <v>273</v>
      </c>
      <c r="C151" t="s">
        <v>4</v>
      </c>
      <c r="D151" s="3" t="s">
        <v>274</v>
      </c>
      <c r="E151" s="3" t="s">
        <v>778</v>
      </c>
      <c r="F151" s="2">
        <v>3000</v>
      </c>
      <c r="G151" t="s">
        <v>643</v>
      </c>
    </row>
    <row r="152" spans="1:7" x14ac:dyDescent="0.35">
      <c r="A152" s="1">
        <v>42476</v>
      </c>
      <c r="B152" t="s">
        <v>275</v>
      </c>
      <c r="C152" t="s">
        <v>4</v>
      </c>
      <c r="D152" s="3" t="s">
        <v>276</v>
      </c>
      <c r="E152" s="3" t="s">
        <v>779</v>
      </c>
      <c r="F152" s="2">
        <v>5000</v>
      </c>
      <c r="G152" t="s">
        <v>643</v>
      </c>
    </row>
    <row r="153" spans="1:7" x14ac:dyDescent="0.35">
      <c r="A153" s="1">
        <v>42476</v>
      </c>
      <c r="B153" t="s">
        <v>277</v>
      </c>
      <c r="C153" t="s">
        <v>4</v>
      </c>
      <c r="D153" s="3" t="s">
        <v>278</v>
      </c>
      <c r="E153" s="3" t="s">
        <v>780</v>
      </c>
      <c r="F153" s="2">
        <v>2000</v>
      </c>
      <c r="G153" t="s">
        <v>643</v>
      </c>
    </row>
    <row r="154" spans="1:7" x14ac:dyDescent="0.35">
      <c r="A154" s="1">
        <v>42477</v>
      </c>
      <c r="B154" t="s">
        <v>279</v>
      </c>
      <c r="C154" t="s">
        <v>4</v>
      </c>
      <c r="D154" s="3" t="s">
        <v>280</v>
      </c>
      <c r="E154" s="3" t="s">
        <v>781</v>
      </c>
      <c r="G154" t="s">
        <v>643</v>
      </c>
    </row>
    <row r="155" spans="1:7" x14ac:dyDescent="0.35">
      <c r="A155" s="1">
        <v>42478</v>
      </c>
      <c r="B155" t="s">
        <v>281</v>
      </c>
      <c r="C155" t="s">
        <v>4</v>
      </c>
      <c r="D155" s="3" t="s">
        <v>282</v>
      </c>
      <c r="E155" s="3" t="s">
        <v>782</v>
      </c>
      <c r="F155" s="2">
        <v>11400</v>
      </c>
      <c r="G155" t="s">
        <v>643</v>
      </c>
    </row>
    <row r="156" spans="1:7" x14ac:dyDescent="0.35">
      <c r="A156" s="1">
        <v>42480</v>
      </c>
      <c r="B156" t="s">
        <v>283</v>
      </c>
      <c r="C156" t="s">
        <v>284</v>
      </c>
      <c r="D156" s="3" t="s">
        <v>285</v>
      </c>
      <c r="E156" s="3" t="s">
        <v>783</v>
      </c>
      <c r="F156" s="2">
        <v>4000</v>
      </c>
      <c r="G156" t="s">
        <v>643</v>
      </c>
    </row>
    <row r="157" spans="1:7" x14ac:dyDescent="0.35">
      <c r="A157" s="1">
        <v>42480</v>
      </c>
      <c r="B157" t="s">
        <v>286</v>
      </c>
      <c r="C157" t="s">
        <v>287</v>
      </c>
      <c r="D157" s="3" t="s">
        <v>288</v>
      </c>
      <c r="E157" s="3" t="s">
        <v>784</v>
      </c>
      <c r="F157" s="2">
        <v>3000</v>
      </c>
      <c r="G157" t="s">
        <v>643</v>
      </c>
    </row>
    <row r="158" spans="1:7" x14ac:dyDescent="0.35">
      <c r="A158" s="1">
        <v>42481</v>
      </c>
      <c r="B158" t="s">
        <v>289</v>
      </c>
      <c r="C158" t="s">
        <v>268</v>
      </c>
      <c r="D158" s="3" t="s">
        <v>290</v>
      </c>
      <c r="E158" s="3" t="s">
        <v>785</v>
      </c>
      <c r="F158" s="2">
        <v>6000</v>
      </c>
      <c r="G158" t="s">
        <v>643</v>
      </c>
    </row>
    <row r="159" spans="1:7" x14ac:dyDescent="0.35">
      <c r="A159" s="1">
        <v>42482</v>
      </c>
      <c r="B159" t="s">
        <v>291</v>
      </c>
      <c r="C159" t="s">
        <v>292</v>
      </c>
      <c r="D159" s="3" t="s">
        <v>293</v>
      </c>
      <c r="E159" s="3" t="s">
        <v>786</v>
      </c>
      <c r="F159" s="2">
        <v>8200</v>
      </c>
      <c r="G159" t="s">
        <v>643</v>
      </c>
    </row>
    <row r="160" spans="1:7" x14ac:dyDescent="0.35">
      <c r="A160" s="1">
        <v>42483</v>
      </c>
      <c r="B160" t="s">
        <v>294</v>
      </c>
      <c r="C160" t="s">
        <v>271</v>
      </c>
      <c r="D160" s="3" t="s">
        <v>295</v>
      </c>
      <c r="E160" s="3" t="s">
        <v>787</v>
      </c>
      <c r="F160" s="2">
        <v>1400</v>
      </c>
      <c r="G160" t="s">
        <v>643</v>
      </c>
    </row>
    <row r="161" spans="1:7" x14ac:dyDescent="0.35">
      <c r="A161" s="1">
        <v>42483</v>
      </c>
      <c r="B161" t="s">
        <v>296</v>
      </c>
      <c r="C161" t="s">
        <v>271</v>
      </c>
      <c r="D161" s="3" t="s">
        <v>297</v>
      </c>
      <c r="E161" s="3" t="s">
        <v>788</v>
      </c>
      <c r="F161" s="2">
        <v>3000</v>
      </c>
      <c r="G161" t="s">
        <v>643</v>
      </c>
    </row>
    <row r="162" spans="1:7" x14ac:dyDescent="0.35">
      <c r="A162" s="1">
        <v>42484</v>
      </c>
      <c r="B162" t="s">
        <v>298</v>
      </c>
      <c r="C162" t="s">
        <v>287</v>
      </c>
      <c r="D162" s="3" t="s">
        <v>299</v>
      </c>
      <c r="E162" s="3" t="s">
        <v>789</v>
      </c>
      <c r="F162" s="2">
        <v>5000</v>
      </c>
      <c r="G162" t="s">
        <v>643</v>
      </c>
    </row>
    <row r="163" spans="1:7" x14ac:dyDescent="0.35">
      <c r="A163" s="1">
        <v>42485</v>
      </c>
      <c r="B163" t="s">
        <v>300</v>
      </c>
      <c r="C163" t="s">
        <v>301</v>
      </c>
      <c r="D163" s="3" t="s">
        <v>302</v>
      </c>
      <c r="E163" s="3" t="s">
        <v>790</v>
      </c>
      <c r="F163" s="2">
        <v>1000</v>
      </c>
      <c r="G163" t="s">
        <v>643</v>
      </c>
    </row>
    <row r="164" spans="1:7" x14ac:dyDescent="0.35">
      <c r="A164" s="1">
        <v>42485</v>
      </c>
      <c r="B164" t="s">
        <v>303</v>
      </c>
      <c r="C164" t="s">
        <v>268</v>
      </c>
      <c r="D164" s="3" t="s">
        <v>304</v>
      </c>
      <c r="E164" s="3" t="s">
        <v>791</v>
      </c>
      <c r="F164" s="2">
        <v>3500</v>
      </c>
      <c r="G164" t="s">
        <v>643</v>
      </c>
    </row>
    <row r="165" spans="1:7" x14ac:dyDescent="0.35">
      <c r="A165" s="1">
        <v>42485</v>
      </c>
      <c r="B165" t="s">
        <v>305</v>
      </c>
      <c r="C165" t="s">
        <v>268</v>
      </c>
      <c r="D165" s="3" t="s">
        <v>306</v>
      </c>
      <c r="E165" s="3" t="s">
        <v>792</v>
      </c>
      <c r="F165" s="2">
        <v>10000</v>
      </c>
      <c r="G165" t="s">
        <v>643</v>
      </c>
    </row>
    <row r="166" spans="1:7" x14ac:dyDescent="0.35">
      <c r="A166" s="1">
        <v>42487</v>
      </c>
      <c r="B166" t="s">
        <v>283</v>
      </c>
      <c r="C166" t="s">
        <v>284</v>
      </c>
      <c r="D166" s="3" t="s">
        <v>307</v>
      </c>
      <c r="E166" s="3" t="s">
        <v>783</v>
      </c>
      <c r="F166" s="2">
        <v>5000</v>
      </c>
      <c r="G166" t="s">
        <v>643</v>
      </c>
    </row>
    <row r="167" spans="1:7" x14ac:dyDescent="0.35">
      <c r="A167" s="1">
        <v>42488</v>
      </c>
      <c r="B167" t="s">
        <v>308</v>
      </c>
      <c r="C167" t="s">
        <v>309</v>
      </c>
      <c r="D167" s="3" t="s">
        <v>310</v>
      </c>
      <c r="E167" s="3" t="s">
        <v>793</v>
      </c>
      <c r="G167" t="s">
        <v>643</v>
      </c>
    </row>
    <row r="168" spans="1:7" x14ac:dyDescent="0.35">
      <c r="A168" s="1">
        <v>42488</v>
      </c>
      <c r="B168" t="s">
        <v>311</v>
      </c>
      <c r="C168" t="s">
        <v>284</v>
      </c>
      <c r="D168" s="3" t="s">
        <v>312</v>
      </c>
      <c r="E168" s="3" t="s">
        <v>794</v>
      </c>
      <c r="F168" s="2">
        <v>12000</v>
      </c>
      <c r="G168" t="s">
        <v>643</v>
      </c>
    </row>
    <row r="169" spans="1:7" x14ac:dyDescent="0.35">
      <c r="A169" s="1">
        <v>42491</v>
      </c>
      <c r="B169" t="s">
        <v>313</v>
      </c>
      <c r="C169" t="s">
        <v>284</v>
      </c>
      <c r="D169" s="3" t="s">
        <v>314</v>
      </c>
      <c r="E169" s="3" t="s">
        <v>795</v>
      </c>
      <c r="F169" s="2">
        <v>8000</v>
      </c>
      <c r="G169" t="s">
        <v>643</v>
      </c>
    </row>
    <row r="170" spans="1:7" x14ac:dyDescent="0.35">
      <c r="A170" s="1">
        <v>42491</v>
      </c>
      <c r="B170" t="s">
        <v>315</v>
      </c>
      <c r="C170" t="s">
        <v>284</v>
      </c>
      <c r="D170" s="3" t="s">
        <v>316</v>
      </c>
      <c r="E170" s="3" t="s">
        <v>796</v>
      </c>
      <c r="F170" s="2">
        <v>2100</v>
      </c>
      <c r="G170" t="s">
        <v>643</v>
      </c>
    </row>
    <row r="171" spans="1:7" x14ac:dyDescent="0.35">
      <c r="A171" s="1">
        <v>42492</v>
      </c>
      <c r="B171" t="s">
        <v>317</v>
      </c>
      <c r="C171" t="s">
        <v>284</v>
      </c>
      <c r="D171" s="3" t="s">
        <v>318</v>
      </c>
      <c r="E171" s="3" t="s">
        <v>797</v>
      </c>
      <c r="F171" s="2">
        <v>1800</v>
      </c>
      <c r="G171" t="s">
        <v>643</v>
      </c>
    </row>
    <row r="172" spans="1:7" x14ac:dyDescent="0.35">
      <c r="A172" s="1">
        <v>42492</v>
      </c>
      <c r="B172" t="s">
        <v>319</v>
      </c>
      <c r="C172" t="s">
        <v>284</v>
      </c>
      <c r="D172" s="3" t="s">
        <v>320</v>
      </c>
      <c r="E172" s="3" t="s">
        <v>798</v>
      </c>
      <c r="F172" s="2">
        <v>8000</v>
      </c>
      <c r="G172" t="s">
        <v>643</v>
      </c>
    </row>
    <row r="173" spans="1:7" x14ac:dyDescent="0.35">
      <c r="A173" s="1">
        <v>42495</v>
      </c>
      <c r="B173" t="s">
        <v>321</v>
      </c>
      <c r="C173" t="s">
        <v>322</v>
      </c>
      <c r="D173" s="3" t="s">
        <v>323</v>
      </c>
      <c r="E173" s="3" t="s">
        <v>799</v>
      </c>
      <c r="G173" t="s">
        <v>644</v>
      </c>
    </row>
    <row r="174" spans="1:7" x14ac:dyDescent="0.35">
      <c r="A174" s="1">
        <v>42496</v>
      </c>
      <c r="B174" t="s">
        <v>324</v>
      </c>
      <c r="C174" t="s">
        <v>325</v>
      </c>
      <c r="D174" s="3" t="s">
        <v>326</v>
      </c>
      <c r="E174" s="3" t="s">
        <v>800</v>
      </c>
      <c r="F174" s="2">
        <v>5000</v>
      </c>
      <c r="G174" t="s">
        <v>644</v>
      </c>
    </row>
    <row r="175" spans="1:7" x14ac:dyDescent="0.35">
      <c r="A175" s="1">
        <v>42496</v>
      </c>
      <c r="B175" t="s">
        <v>327</v>
      </c>
      <c r="C175" t="s">
        <v>328</v>
      </c>
      <c r="D175" s="3" t="s">
        <v>329</v>
      </c>
      <c r="E175" s="3" t="s">
        <v>801</v>
      </c>
      <c r="F175" s="2">
        <v>3500</v>
      </c>
      <c r="G175" t="s">
        <v>644</v>
      </c>
    </row>
    <row r="176" spans="1:7" x14ac:dyDescent="0.35">
      <c r="A176" s="1">
        <v>42497</v>
      </c>
      <c r="B176" t="s">
        <v>330</v>
      </c>
      <c r="C176" t="s">
        <v>331</v>
      </c>
      <c r="D176" s="3" t="s">
        <v>332</v>
      </c>
      <c r="E176" s="3" t="s">
        <v>802</v>
      </c>
      <c r="F176" s="2">
        <v>7500</v>
      </c>
      <c r="G176" t="s">
        <v>644</v>
      </c>
    </row>
    <row r="177" spans="1:7" x14ac:dyDescent="0.35">
      <c r="A177" s="1">
        <v>42497</v>
      </c>
      <c r="B177" t="s">
        <v>333</v>
      </c>
      <c r="C177" t="s">
        <v>331</v>
      </c>
      <c r="D177" s="3" t="s">
        <v>334</v>
      </c>
      <c r="E177" s="3" t="s">
        <v>803</v>
      </c>
      <c r="F177" s="2">
        <v>10000</v>
      </c>
      <c r="G177" t="s">
        <v>644</v>
      </c>
    </row>
    <row r="178" spans="1:7" x14ac:dyDescent="0.35">
      <c r="A178" s="1">
        <v>42514</v>
      </c>
      <c r="B178" t="s">
        <v>335</v>
      </c>
      <c r="C178" t="s">
        <v>336</v>
      </c>
      <c r="D178" s="3" t="s">
        <v>337</v>
      </c>
      <c r="E178" s="3" t="s">
        <v>804</v>
      </c>
      <c r="F178" s="2">
        <v>8000</v>
      </c>
      <c r="G178" t="s">
        <v>644</v>
      </c>
    </row>
    <row r="179" spans="1:7" x14ac:dyDescent="0.35">
      <c r="A179" s="1">
        <v>42515</v>
      </c>
      <c r="B179" t="s">
        <v>338</v>
      </c>
      <c r="C179" t="s">
        <v>309</v>
      </c>
      <c r="D179" s="3" t="s">
        <v>339</v>
      </c>
      <c r="E179" s="3" t="s">
        <v>805</v>
      </c>
      <c r="F179" s="2">
        <v>3000</v>
      </c>
      <c r="G179" t="s">
        <v>644</v>
      </c>
    </row>
    <row r="180" spans="1:7" x14ac:dyDescent="0.35">
      <c r="A180" s="1">
        <v>42516</v>
      </c>
      <c r="B180" t="s">
        <v>340</v>
      </c>
      <c r="C180" t="s">
        <v>341</v>
      </c>
      <c r="D180" s="3" t="s">
        <v>342</v>
      </c>
      <c r="E180" s="3" t="s">
        <v>806</v>
      </c>
      <c r="F180" s="2">
        <v>7000</v>
      </c>
      <c r="G180" t="s">
        <v>644</v>
      </c>
    </row>
    <row r="181" spans="1:7" x14ac:dyDescent="0.35">
      <c r="A181" s="1">
        <v>42517</v>
      </c>
      <c r="B181" t="s">
        <v>343</v>
      </c>
      <c r="C181" t="s">
        <v>309</v>
      </c>
      <c r="D181" s="3" t="s">
        <v>344</v>
      </c>
      <c r="E181" s="3" t="s">
        <v>807</v>
      </c>
      <c r="F181">
        <v>6999</v>
      </c>
      <c r="G181" t="s">
        <v>644</v>
      </c>
    </row>
    <row r="182" spans="1:7" x14ac:dyDescent="0.35">
      <c r="A182" s="1">
        <v>42517</v>
      </c>
      <c r="B182" t="s">
        <v>345</v>
      </c>
      <c r="C182" t="s">
        <v>309</v>
      </c>
      <c r="D182" s="3" t="s">
        <v>346</v>
      </c>
      <c r="E182" s="3" t="s">
        <v>808</v>
      </c>
      <c r="G182" t="s">
        <v>644</v>
      </c>
    </row>
    <row r="183" spans="1:7" x14ac:dyDescent="0.35">
      <c r="A183" s="1">
        <v>42522</v>
      </c>
      <c r="B183" t="s">
        <v>347</v>
      </c>
      <c r="C183" t="s">
        <v>309</v>
      </c>
      <c r="D183" s="3" t="s">
        <v>348</v>
      </c>
      <c r="E183" s="3" t="s">
        <v>809</v>
      </c>
      <c r="F183" s="2">
        <v>5000</v>
      </c>
      <c r="G183" t="s">
        <v>644</v>
      </c>
    </row>
    <row r="184" spans="1:7" x14ac:dyDescent="0.35">
      <c r="A184" s="1">
        <v>42523</v>
      </c>
      <c r="B184" t="s">
        <v>349</v>
      </c>
      <c r="C184" t="s">
        <v>309</v>
      </c>
      <c r="D184" s="3" t="s">
        <v>350</v>
      </c>
      <c r="E184" s="3" t="s">
        <v>912</v>
      </c>
      <c r="G184" t="s">
        <v>644</v>
      </c>
    </row>
    <row r="185" spans="1:7" x14ac:dyDescent="0.35">
      <c r="A185" s="1">
        <v>42524</v>
      </c>
      <c r="B185" t="s">
        <v>351</v>
      </c>
      <c r="C185" t="s">
        <v>309</v>
      </c>
      <c r="D185" s="3" t="s">
        <v>352</v>
      </c>
      <c r="E185" s="3" t="s">
        <v>810</v>
      </c>
      <c r="F185" s="2">
        <v>4000</v>
      </c>
      <c r="G185" t="s">
        <v>644</v>
      </c>
    </row>
    <row r="186" spans="1:7" x14ac:dyDescent="0.35">
      <c r="A186" s="1">
        <v>42531</v>
      </c>
      <c r="B186" t="s">
        <v>353</v>
      </c>
      <c r="C186" t="s">
        <v>43</v>
      </c>
      <c r="D186" s="3" t="s">
        <v>354</v>
      </c>
      <c r="E186" s="3" t="s">
        <v>811</v>
      </c>
      <c r="F186" s="2">
        <v>5000</v>
      </c>
      <c r="G186" t="s">
        <v>644</v>
      </c>
    </row>
    <row r="187" spans="1:7" x14ac:dyDescent="0.35">
      <c r="A187" s="1">
        <v>42532</v>
      </c>
      <c r="B187" t="s">
        <v>355</v>
      </c>
      <c r="C187" t="s">
        <v>268</v>
      </c>
      <c r="D187" s="3" t="s">
        <v>356</v>
      </c>
      <c r="E187" s="3" t="s">
        <v>812</v>
      </c>
      <c r="F187" s="2">
        <v>1500</v>
      </c>
      <c r="G187" t="s">
        <v>644</v>
      </c>
    </row>
    <row r="188" spans="1:7" x14ac:dyDescent="0.35">
      <c r="A188" s="1">
        <v>42532</v>
      </c>
      <c r="B188" t="s">
        <v>158</v>
      </c>
      <c r="C188" t="s">
        <v>36</v>
      </c>
      <c r="D188" s="3" t="s">
        <v>228</v>
      </c>
      <c r="E188" s="3" t="s">
        <v>757</v>
      </c>
      <c r="F188" s="2">
        <v>4000</v>
      </c>
      <c r="G188" t="s">
        <v>644</v>
      </c>
    </row>
    <row r="189" spans="1:7" x14ac:dyDescent="0.35">
      <c r="A189" s="1">
        <v>42535</v>
      </c>
      <c r="B189" t="s">
        <v>357</v>
      </c>
      <c r="C189" t="s">
        <v>66</v>
      </c>
      <c r="D189" s="3" t="s">
        <v>358</v>
      </c>
      <c r="E189" s="3" t="s">
        <v>813</v>
      </c>
      <c r="F189" s="2">
        <v>6150</v>
      </c>
      <c r="G189" t="s">
        <v>644</v>
      </c>
    </row>
    <row r="190" spans="1:7" x14ac:dyDescent="0.35">
      <c r="A190" s="1">
        <v>42536</v>
      </c>
      <c r="B190" t="s">
        <v>177</v>
      </c>
      <c r="C190" t="s">
        <v>32</v>
      </c>
      <c r="D190" s="3" t="s">
        <v>359</v>
      </c>
      <c r="E190" s="3" t="s">
        <v>814</v>
      </c>
      <c r="F190" s="2">
        <v>3500</v>
      </c>
      <c r="G190" t="s">
        <v>644</v>
      </c>
    </row>
    <row r="191" spans="1:7" x14ac:dyDescent="0.35">
      <c r="A191" s="1">
        <v>42537</v>
      </c>
      <c r="B191" t="s">
        <v>21</v>
      </c>
      <c r="C191" t="s">
        <v>22</v>
      </c>
      <c r="D191" s="3" t="s">
        <v>360</v>
      </c>
      <c r="E191" s="3" t="s">
        <v>815</v>
      </c>
      <c r="F191" s="2">
        <v>3600</v>
      </c>
      <c r="G191" t="s">
        <v>644</v>
      </c>
    </row>
    <row r="192" spans="1:7" x14ac:dyDescent="0.35">
      <c r="A192" s="1">
        <v>42537</v>
      </c>
      <c r="B192" t="s">
        <v>361</v>
      </c>
      <c r="C192" t="s">
        <v>22</v>
      </c>
      <c r="D192" s="3" t="s">
        <v>362</v>
      </c>
      <c r="E192" s="3" t="s">
        <v>816</v>
      </c>
      <c r="F192" s="2">
        <v>5000</v>
      </c>
      <c r="G192" t="s">
        <v>644</v>
      </c>
    </row>
    <row r="193" spans="1:7" x14ac:dyDescent="0.35">
      <c r="A193" s="1">
        <v>42539</v>
      </c>
      <c r="B193" t="s">
        <v>75</v>
      </c>
      <c r="C193" t="s">
        <v>41</v>
      </c>
      <c r="D193" s="3" t="s">
        <v>363</v>
      </c>
      <c r="E193" s="3" t="s">
        <v>672</v>
      </c>
      <c r="F193" s="2">
        <v>1600</v>
      </c>
      <c r="G193" t="s">
        <v>644</v>
      </c>
    </row>
    <row r="194" spans="1:7" x14ac:dyDescent="0.35">
      <c r="A194" s="1">
        <v>42539</v>
      </c>
      <c r="B194" t="s">
        <v>7</v>
      </c>
      <c r="C194" t="s">
        <v>8</v>
      </c>
      <c r="D194" s="3" t="s">
        <v>364</v>
      </c>
      <c r="E194" s="3" t="s">
        <v>817</v>
      </c>
      <c r="F194" s="2">
        <v>6000</v>
      </c>
      <c r="G194" t="s">
        <v>644</v>
      </c>
    </row>
    <row r="195" spans="1:7" x14ac:dyDescent="0.35">
      <c r="A195" s="1">
        <v>42549</v>
      </c>
      <c r="B195" t="s">
        <v>365</v>
      </c>
      <c r="C195" t="s">
        <v>56</v>
      </c>
      <c r="D195" s="3" t="s">
        <v>366</v>
      </c>
      <c r="E195" s="3" t="s">
        <v>818</v>
      </c>
      <c r="F195" s="2">
        <v>4000</v>
      </c>
      <c r="G195" t="s">
        <v>644</v>
      </c>
    </row>
    <row r="196" spans="1:7" x14ac:dyDescent="0.35">
      <c r="A196" s="1">
        <v>42550</v>
      </c>
      <c r="B196" t="s">
        <v>367</v>
      </c>
      <c r="C196" t="s">
        <v>198</v>
      </c>
      <c r="D196" s="3" t="s">
        <v>368</v>
      </c>
      <c r="E196" s="3" t="s">
        <v>819</v>
      </c>
      <c r="F196" s="2">
        <v>4000</v>
      </c>
      <c r="G196" t="s">
        <v>644</v>
      </c>
    </row>
    <row r="197" spans="1:7" x14ac:dyDescent="0.35">
      <c r="A197" s="1">
        <v>42556</v>
      </c>
      <c r="B197" t="s">
        <v>65</v>
      </c>
      <c r="C197" t="s">
        <v>66</v>
      </c>
      <c r="D197" s="3" t="s">
        <v>369</v>
      </c>
      <c r="E197" s="3" t="s">
        <v>820</v>
      </c>
      <c r="F197" s="2">
        <v>2250</v>
      </c>
      <c r="G197" t="s">
        <v>644</v>
      </c>
    </row>
    <row r="198" spans="1:7" x14ac:dyDescent="0.35">
      <c r="A198" s="1">
        <v>42557</v>
      </c>
      <c r="B198" t="s">
        <v>370</v>
      </c>
      <c r="C198" t="s">
        <v>56</v>
      </c>
      <c r="D198" s="3" t="s">
        <v>371</v>
      </c>
      <c r="E198" s="3" t="s">
        <v>821</v>
      </c>
      <c r="F198" s="2">
        <v>7000</v>
      </c>
      <c r="G198" t="s">
        <v>644</v>
      </c>
    </row>
    <row r="199" spans="1:7" x14ac:dyDescent="0.35">
      <c r="A199" s="1">
        <v>42563</v>
      </c>
      <c r="B199" t="s">
        <v>372</v>
      </c>
      <c r="C199" t="s">
        <v>284</v>
      </c>
      <c r="D199" s="3" t="s">
        <v>373</v>
      </c>
      <c r="E199" s="3" t="s">
        <v>822</v>
      </c>
      <c r="F199" s="2">
        <v>2000</v>
      </c>
      <c r="G199" t="s">
        <v>644</v>
      </c>
    </row>
    <row r="200" spans="1:7" x14ac:dyDescent="0.35">
      <c r="A200" s="1">
        <v>42576</v>
      </c>
      <c r="B200" t="s">
        <v>374</v>
      </c>
      <c r="C200" t="s">
        <v>66</v>
      </c>
      <c r="D200" s="3" t="s">
        <v>375</v>
      </c>
      <c r="E200" s="3" t="s">
        <v>823</v>
      </c>
      <c r="F200" s="2">
        <v>4728</v>
      </c>
      <c r="G200" t="s">
        <v>644</v>
      </c>
    </row>
    <row r="201" spans="1:7" x14ac:dyDescent="0.35">
      <c r="A201" s="1">
        <v>42578</v>
      </c>
      <c r="B201" t="s">
        <v>376</v>
      </c>
      <c r="C201" t="s">
        <v>268</v>
      </c>
      <c r="D201" s="3" t="s">
        <v>377</v>
      </c>
      <c r="E201" s="3" t="s">
        <v>824</v>
      </c>
      <c r="F201" s="2">
        <v>3500</v>
      </c>
      <c r="G201" t="s">
        <v>644</v>
      </c>
    </row>
    <row r="202" spans="1:7" x14ac:dyDescent="0.35">
      <c r="A202" s="1">
        <v>42578</v>
      </c>
      <c r="B202" t="s">
        <v>378</v>
      </c>
      <c r="C202" t="s">
        <v>56</v>
      </c>
      <c r="D202" s="3" t="s">
        <v>379</v>
      </c>
      <c r="E202" s="3" t="s">
        <v>825</v>
      </c>
      <c r="F202" s="2">
        <v>8879</v>
      </c>
      <c r="G202" t="s">
        <v>644</v>
      </c>
    </row>
    <row r="203" spans="1:7" x14ac:dyDescent="0.35">
      <c r="A203" s="1">
        <v>42579</v>
      </c>
      <c r="B203" t="s">
        <v>78</v>
      </c>
      <c r="C203" t="s">
        <v>12</v>
      </c>
      <c r="D203" s="3" t="s">
        <v>133</v>
      </c>
      <c r="E203" s="3" t="s">
        <v>673</v>
      </c>
      <c r="F203" s="2">
        <v>3000</v>
      </c>
      <c r="G203" t="s">
        <v>644</v>
      </c>
    </row>
    <row r="204" spans="1:7" x14ac:dyDescent="0.35">
      <c r="A204" s="1">
        <v>42579</v>
      </c>
      <c r="B204" t="s">
        <v>68</v>
      </c>
      <c r="C204" t="s">
        <v>12</v>
      </c>
      <c r="D204" s="3" t="s">
        <v>130</v>
      </c>
      <c r="E204" s="3" t="s">
        <v>706</v>
      </c>
      <c r="F204" s="2">
        <v>2400</v>
      </c>
      <c r="G204" t="s">
        <v>644</v>
      </c>
    </row>
    <row r="205" spans="1:7" x14ac:dyDescent="0.35">
      <c r="A205" s="1">
        <v>42580</v>
      </c>
      <c r="B205" t="s">
        <v>380</v>
      </c>
      <c r="C205" t="s">
        <v>381</v>
      </c>
      <c r="D205" s="3" t="s">
        <v>382</v>
      </c>
      <c r="E205" s="3" t="s">
        <v>826</v>
      </c>
      <c r="F205" s="2">
        <v>2500</v>
      </c>
      <c r="G205" t="s">
        <v>644</v>
      </c>
    </row>
    <row r="206" spans="1:7" x14ac:dyDescent="0.35">
      <c r="A206" s="1">
        <v>42580</v>
      </c>
      <c r="B206" t="s">
        <v>383</v>
      </c>
      <c r="C206" t="s">
        <v>381</v>
      </c>
      <c r="D206" s="3" t="s">
        <v>384</v>
      </c>
      <c r="E206" s="3" t="s">
        <v>827</v>
      </c>
      <c r="F206" s="2">
        <v>6000</v>
      </c>
      <c r="G206" t="s">
        <v>644</v>
      </c>
    </row>
    <row r="207" spans="1:7" x14ac:dyDescent="0.35">
      <c r="A207" s="1">
        <v>42583</v>
      </c>
      <c r="B207" t="s">
        <v>55</v>
      </c>
      <c r="C207" t="s">
        <v>56</v>
      </c>
      <c r="D207" s="3" t="s">
        <v>57</v>
      </c>
      <c r="E207" s="3" t="s">
        <v>660</v>
      </c>
      <c r="F207" s="2">
        <v>1000</v>
      </c>
      <c r="G207" t="s">
        <v>644</v>
      </c>
    </row>
    <row r="208" spans="1:7" x14ac:dyDescent="0.35">
      <c r="A208" s="1">
        <v>42583</v>
      </c>
      <c r="B208" t="s">
        <v>385</v>
      </c>
      <c r="C208" t="s">
        <v>268</v>
      </c>
      <c r="D208" s="3" t="s">
        <v>386</v>
      </c>
      <c r="E208" s="3" t="s">
        <v>828</v>
      </c>
      <c r="F208" s="2">
        <v>5000</v>
      </c>
      <c r="G208" t="s">
        <v>644</v>
      </c>
    </row>
    <row r="209" spans="1:7" x14ac:dyDescent="0.35">
      <c r="A209" s="1">
        <v>42584</v>
      </c>
      <c r="B209" t="s">
        <v>387</v>
      </c>
      <c r="C209" t="s">
        <v>43</v>
      </c>
      <c r="D209" s="3" t="s">
        <v>388</v>
      </c>
      <c r="E209" s="3" t="s">
        <v>829</v>
      </c>
      <c r="F209">
        <v>800</v>
      </c>
      <c r="G209" t="s">
        <v>644</v>
      </c>
    </row>
    <row r="210" spans="1:7" x14ac:dyDescent="0.35">
      <c r="A210" s="1">
        <v>42585</v>
      </c>
      <c r="B210" t="s">
        <v>389</v>
      </c>
      <c r="C210" t="s">
        <v>36</v>
      </c>
      <c r="D210" s="3" t="s">
        <v>390</v>
      </c>
      <c r="E210" s="3" t="s">
        <v>830</v>
      </c>
      <c r="F210" s="2">
        <v>10000</v>
      </c>
      <c r="G210" t="s">
        <v>644</v>
      </c>
    </row>
    <row r="211" spans="1:7" x14ac:dyDescent="0.35">
      <c r="A211" s="1">
        <v>42585</v>
      </c>
      <c r="B211" t="s">
        <v>35</v>
      </c>
      <c r="C211" t="s">
        <v>36</v>
      </c>
      <c r="D211" s="3" t="s">
        <v>391</v>
      </c>
      <c r="E211" s="3" t="s">
        <v>649</v>
      </c>
      <c r="F211" s="2">
        <v>10000</v>
      </c>
      <c r="G211" t="s">
        <v>644</v>
      </c>
    </row>
    <row r="212" spans="1:7" x14ac:dyDescent="0.35">
      <c r="A212" s="1">
        <v>42586</v>
      </c>
      <c r="B212" t="s">
        <v>197</v>
      </c>
      <c r="C212" t="s">
        <v>198</v>
      </c>
      <c r="D212" s="3" t="s">
        <v>392</v>
      </c>
      <c r="E212" s="3" t="s">
        <v>742</v>
      </c>
      <c r="F212" s="2">
        <v>1600</v>
      </c>
      <c r="G212" t="s">
        <v>644</v>
      </c>
    </row>
    <row r="213" spans="1:7" x14ac:dyDescent="0.35">
      <c r="A213" s="1">
        <v>42587</v>
      </c>
      <c r="B213" t="s">
        <v>72</v>
      </c>
      <c r="C213" t="s">
        <v>12</v>
      </c>
      <c r="D213" s="3" t="s">
        <v>393</v>
      </c>
      <c r="E213" s="3" t="s">
        <v>831</v>
      </c>
      <c r="F213" s="2">
        <v>6000</v>
      </c>
      <c r="G213" t="s">
        <v>644</v>
      </c>
    </row>
    <row r="214" spans="1:7" x14ac:dyDescent="0.35">
      <c r="A214" s="1">
        <v>42587</v>
      </c>
      <c r="B214" t="s">
        <v>394</v>
      </c>
      <c r="C214" t="s">
        <v>239</v>
      </c>
      <c r="D214" s="3" t="s">
        <v>395</v>
      </c>
      <c r="E214" s="3" t="s">
        <v>832</v>
      </c>
      <c r="F214" s="2">
        <v>3000</v>
      </c>
      <c r="G214" t="s">
        <v>644</v>
      </c>
    </row>
    <row r="215" spans="1:7" x14ac:dyDescent="0.35">
      <c r="A215" s="1">
        <v>42588</v>
      </c>
      <c r="B215" t="s">
        <v>99</v>
      </c>
      <c r="C215" t="s">
        <v>6</v>
      </c>
      <c r="D215" s="3" t="s">
        <v>396</v>
      </c>
      <c r="E215" s="3" t="s">
        <v>686</v>
      </c>
      <c r="F215" s="2">
        <v>1500</v>
      </c>
      <c r="G215" t="s">
        <v>644</v>
      </c>
    </row>
    <row r="216" spans="1:7" x14ac:dyDescent="0.35">
      <c r="A216" s="1">
        <v>42591</v>
      </c>
      <c r="B216" t="s">
        <v>213</v>
      </c>
      <c r="C216" t="s">
        <v>66</v>
      </c>
      <c r="D216" s="3" t="s">
        <v>397</v>
      </c>
      <c r="E216" s="3" t="s">
        <v>750</v>
      </c>
      <c r="F216" s="2">
        <v>3000</v>
      </c>
      <c r="G216" t="s">
        <v>644</v>
      </c>
    </row>
    <row r="217" spans="1:7" x14ac:dyDescent="0.35">
      <c r="A217" s="1">
        <v>42591</v>
      </c>
      <c r="B217" t="s">
        <v>398</v>
      </c>
      <c r="C217" t="s">
        <v>66</v>
      </c>
      <c r="D217" s="3" t="s">
        <v>399</v>
      </c>
      <c r="E217" s="3" t="s">
        <v>833</v>
      </c>
      <c r="G217" t="s">
        <v>644</v>
      </c>
    </row>
    <row r="218" spans="1:7" x14ac:dyDescent="0.35">
      <c r="A218" s="1">
        <v>42592</v>
      </c>
      <c r="B218" t="s">
        <v>400</v>
      </c>
      <c r="C218" t="s">
        <v>36</v>
      </c>
      <c r="D218" s="3" t="s">
        <v>401</v>
      </c>
      <c r="E218" s="3" t="s">
        <v>834</v>
      </c>
      <c r="G218" t="s">
        <v>644</v>
      </c>
    </row>
    <row r="219" spans="1:7" x14ac:dyDescent="0.35">
      <c r="A219" s="1">
        <v>42593</v>
      </c>
      <c r="B219" t="s">
        <v>402</v>
      </c>
      <c r="C219" t="s">
        <v>36</v>
      </c>
      <c r="D219" s="3" t="s">
        <v>403</v>
      </c>
      <c r="E219" s="3" t="s">
        <v>835</v>
      </c>
      <c r="F219" s="2">
        <v>8000</v>
      </c>
      <c r="G219" t="s">
        <v>644</v>
      </c>
    </row>
    <row r="220" spans="1:7" x14ac:dyDescent="0.35">
      <c r="A220" s="1">
        <v>42594</v>
      </c>
      <c r="B220" t="s">
        <v>404</v>
      </c>
      <c r="C220" t="s">
        <v>268</v>
      </c>
      <c r="D220" s="3" t="s">
        <v>405</v>
      </c>
      <c r="E220" s="3" t="s">
        <v>836</v>
      </c>
      <c r="F220" s="2">
        <v>5000</v>
      </c>
      <c r="G220" t="s">
        <v>644</v>
      </c>
    </row>
    <row r="221" spans="1:7" x14ac:dyDescent="0.35">
      <c r="A221" s="1">
        <v>42594</v>
      </c>
      <c r="B221" t="s">
        <v>406</v>
      </c>
      <c r="C221" t="s">
        <v>268</v>
      </c>
      <c r="D221" s="3" t="s">
        <v>407</v>
      </c>
      <c r="E221" s="3" t="s">
        <v>837</v>
      </c>
      <c r="F221" s="2">
        <v>8000</v>
      </c>
      <c r="G221" t="s">
        <v>644</v>
      </c>
    </row>
    <row r="222" spans="1:7" x14ac:dyDescent="0.35">
      <c r="A222" s="1">
        <v>42595</v>
      </c>
      <c r="B222" t="s">
        <v>408</v>
      </c>
      <c r="C222" t="s">
        <v>271</v>
      </c>
      <c r="D222" s="3" t="s">
        <v>409</v>
      </c>
      <c r="E222" s="3" t="s">
        <v>838</v>
      </c>
      <c r="F222" s="2">
        <v>5000</v>
      </c>
      <c r="G222" t="s">
        <v>644</v>
      </c>
    </row>
    <row r="223" spans="1:7" x14ac:dyDescent="0.35">
      <c r="A223" s="1">
        <v>42598</v>
      </c>
      <c r="B223" t="s">
        <v>410</v>
      </c>
      <c r="C223" t="s">
        <v>239</v>
      </c>
      <c r="D223" s="3" t="s">
        <v>411</v>
      </c>
      <c r="E223" s="3" t="s">
        <v>839</v>
      </c>
      <c r="F223" s="2">
        <v>2000</v>
      </c>
      <c r="G223" t="s">
        <v>644</v>
      </c>
    </row>
    <row r="224" spans="1:7" x14ac:dyDescent="0.35">
      <c r="A224" s="1">
        <v>42600</v>
      </c>
      <c r="B224" t="s">
        <v>412</v>
      </c>
      <c r="C224" t="s">
        <v>66</v>
      </c>
      <c r="D224" s="3" t="s">
        <v>413</v>
      </c>
      <c r="E224" s="3" t="s">
        <v>840</v>
      </c>
      <c r="F224" s="2">
        <v>5000</v>
      </c>
      <c r="G224" t="s">
        <v>644</v>
      </c>
    </row>
    <row r="225" spans="1:7" x14ac:dyDescent="0.35">
      <c r="A225" s="1">
        <v>42601</v>
      </c>
      <c r="B225" t="s">
        <v>414</v>
      </c>
      <c r="C225" t="s">
        <v>81</v>
      </c>
      <c r="D225" s="3" t="s">
        <v>415</v>
      </c>
      <c r="E225" s="3" t="s">
        <v>841</v>
      </c>
      <c r="F225" s="2">
        <v>5000</v>
      </c>
      <c r="G225" t="s">
        <v>644</v>
      </c>
    </row>
    <row r="226" spans="1:7" x14ac:dyDescent="0.35">
      <c r="A226" s="1">
        <v>42602</v>
      </c>
      <c r="B226" t="s">
        <v>416</v>
      </c>
      <c r="C226" t="s">
        <v>43</v>
      </c>
      <c r="D226" s="3" t="s">
        <v>417</v>
      </c>
      <c r="E226" s="3" t="s">
        <v>842</v>
      </c>
      <c r="F226" s="2">
        <v>3600</v>
      </c>
      <c r="G226" t="s">
        <v>644</v>
      </c>
    </row>
    <row r="227" spans="1:7" x14ac:dyDescent="0.35">
      <c r="A227" s="1">
        <v>42604</v>
      </c>
      <c r="B227" t="s">
        <v>418</v>
      </c>
      <c r="C227" t="s">
        <v>56</v>
      </c>
      <c r="D227" s="3" t="s">
        <v>419</v>
      </c>
      <c r="E227" s="3" t="s">
        <v>843</v>
      </c>
      <c r="G227" t="s">
        <v>644</v>
      </c>
    </row>
    <row r="228" spans="1:7" x14ac:dyDescent="0.35">
      <c r="A228" s="1">
        <v>42605</v>
      </c>
      <c r="B228" t="s">
        <v>420</v>
      </c>
      <c r="C228" t="s">
        <v>22</v>
      </c>
      <c r="D228" s="3" t="s">
        <v>421</v>
      </c>
      <c r="E228" s="3" t="s">
        <v>844</v>
      </c>
      <c r="F228" s="2">
        <v>7000</v>
      </c>
      <c r="G228" t="s">
        <v>644</v>
      </c>
    </row>
    <row r="229" spans="1:7" x14ac:dyDescent="0.35">
      <c r="A229" s="1">
        <v>42606</v>
      </c>
      <c r="B229" t="s">
        <v>158</v>
      </c>
      <c r="C229" t="s">
        <v>36</v>
      </c>
      <c r="D229" s="3" t="s">
        <v>422</v>
      </c>
      <c r="E229" s="3" t="s">
        <v>845</v>
      </c>
      <c r="F229" s="2">
        <v>3000</v>
      </c>
      <c r="G229" t="s">
        <v>644</v>
      </c>
    </row>
    <row r="230" spans="1:7" x14ac:dyDescent="0.35">
      <c r="A230" s="1">
        <v>42606</v>
      </c>
      <c r="B230" t="s">
        <v>423</v>
      </c>
      <c r="C230" t="s">
        <v>88</v>
      </c>
      <c r="D230" s="3" t="s">
        <v>424</v>
      </c>
      <c r="E230" s="3" t="s">
        <v>846</v>
      </c>
      <c r="G230" t="s">
        <v>644</v>
      </c>
    </row>
    <row r="231" spans="1:7" x14ac:dyDescent="0.35">
      <c r="A231" s="1">
        <v>42607</v>
      </c>
      <c r="B231" t="s">
        <v>5</v>
      </c>
      <c r="C231" t="s">
        <v>6</v>
      </c>
      <c r="D231" s="3" t="s">
        <v>425</v>
      </c>
      <c r="E231" s="3" t="s">
        <v>718</v>
      </c>
      <c r="F231">
        <v>850</v>
      </c>
      <c r="G231" t="s">
        <v>644</v>
      </c>
    </row>
    <row r="232" spans="1:7" x14ac:dyDescent="0.35">
      <c r="A232" s="1">
        <v>42612</v>
      </c>
      <c r="B232" t="s">
        <v>426</v>
      </c>
      <c r="C232" t="s">
        <v>331</v>
      </c>
      <c r="D232" s="3" t="s">
        <v>427</v>
      </c>
      <c r="E232" s="3" t="s">
        <v>847</v>
      </c>
      <c r="G232" t="s">
        <v>644</v>
      </c>
    </row>
    <row r="233" spans="1:7" x14ac:dyDescent="0.35">
      <c r="A233" s="1">
        <v>42613</v>
      </c>
      <c r="B233" t="s">
        <v>7</v>
      </c>
      <c r="C233" t="s">
        <v>8</v>
      </c>
      <c r="D233" s="3" t="s">
        <v>9</v>
      </c>
      <c r="E233" s="3" t="s">
        <v>848</v>
      </c>
      <c r="F233" s="2">
        <v>7502</v>
      </c>
      <c r="G233" t="s">
        <v>644</v>
      </c>
    </row>
    <row r="234" spans="1:7" x14ac:dyDescent="0.35">
      <c r="A234" s="1">
        <v>42614</v>
      </c>
      <c r="B234" t="s">
        <v>398</v>
      </c>
      <c r="C234" t="s">
        <v>56</v>
      </c>
      <c r="D234" s="3" t="s">
        <v>428</v>
      </c>
      <c r="E234" s="3" t="s">
        <v>849</v>
      </c>
      <c r="F234" s="2">
        <v>5500</v>
      </c>
      <c r="G234" t="s">
        <v>644</v>
      </c>
    </row>
    <row r="235" spans="1:7" x14ac:dyDescent="0.35">
      <c r="A235" s="1">
        <v>42619</v>
      </c>
      <c r="B235" t="s">
        <v>19</v>
      </c>
      <c r="C235" t="s">
        <v>66</v>
      </c>
      <c r="D235" s="3" t="s">
        <v>429</v>
      </c>
      <c r="E235" s="3" t="s">
        <v>850</v>
      </c>
      <c r="F235" s="2">
        <v>3000</v>
      </c>
      <c r="G235" t="s">
        <v>644</v>
      </c>
    </row>
    <row r="236" spans="1:7" x14ac:dyDescent="0.35">
      <c r="A236" s="1">
        <v>42622</v>
      </c>
      <c r="B236" t="s">
        <v>102</v>
      </c>
      <c r="C236" t="s">
        <v>36</v>
      </c>
      <c r="D236" s="3" t="s">
        <v>103</v>
      </c>
      <c r="E236" s="3" t="s">
        <v>688</v>
      </c>
      <c r="F236" s="2">
        <v>12500</v>
      </c>
      <c r="G236" t="s">
        <v>644</v>
      </c>
    </row>
    <row r="237" spans="1:7" x14ac:dyDescent="0.35">
      <c r="A237" s="1">
        <v>42625</v>
      </c>
      <c r="B237" t="s">
        <v>430</v>
      </c>
      <c r="C237" t="s">
        <v>66</v>
      </c>
      <c r="D237" s="3" t="s">
        <v>431</v>
      </c>
      <c r="E237" s="3" t="s">
        <v>673</v>
      </c>
      <c r="F237" s="2">
        <v>6000</v>
      </c>
      <c r="G237" t="s">
        <v>644</v>
      </c>
    </row>
    <row r="238" spans="1:7" x14ac:dyDescent="0.35">
      <c r="A238" s="1">
        <v>42626</v>
      </c>
      <c r="B238" t="s">
        <v>432</v>
      </c>
      <c r="C238" t="s">
        <v>12</v>
      </c>
      <c r="D238" s="3" t="s">
        <v>433</v>
      </c>
      <c r="E238" s="3" t="s">
        <v>851</v>
      </c>
      <c r="F238" s="2">
        <v>1600</v>
      </c>
      <c r="G238" t="s">
        <v>644</v>
      </c>
    </row>
    <row r="239" spans="1:7" x14ac:dyDescent="0.35">
      <c r="A239" s="1">
        <v>42627</v>
      </c>
      <c r="B239" t="s">
        <v>434</v>
      </c>
      <c r="C239" t="s">
        <v>56</v>
      </c>
      <c r="D239" s="3" t="s">
        <v>435</v>
      </c>
      <c r="E239" s="3" t="s">
        <v>852</v>
      </c>
      <c r="F239" s="2">
        <v>6000</v>
      </c>
      <c r="G239" t="s">
        <v>644</v>
      </c>
    </row>
    <row r="240" spans="1:7" x14ac:dyDescent="0.35">
      <c r="A240" s="1">
        <v>42628</v>
      </c>
      <c r="B240" t="s">
        <v>436</v>
      </c>
      <c r="C240" t="s">
        <v>6</v>
      </c>
      <c r="D240" s="3" t="s">
        <v>437</v>
      </c>
      <c r="E240" s="3" t="s">
        <v>853</v>
      </c>
      <c r="F240">
        <v>600</v>
      </c>
      <c r="G240" t="s">
        <v>644</v>
      </c>
    </row>
    <row r="241" spans="1:7" x14ac:dyDescent="0.35">
      <c r="A241" s="1">
        <v>42629</v>
      </c>
      <c r="B241" t="s">
        <v>438</v>
      </c>
      <c r="C241" t="s">
        <v>36</v>
      </c>
      <c r="D241" s="3" t="s">
        <v>439</v>
      </c>
      <c r="E241" s="3" t="s">
        <v>854</v>
      </c>
      <c r="G241" t="s">
        <v>644</v>
      </c>
    </row>
    <row r="242" spans="1:7" x14ac:dyDescent="0.35">
      <c r="A242" s="1">
        <v>42630</v>
      </c>
      <c r="B242" t="s">
        <v>380</v>
      </c>
      <c r="C242" t="s">
        <v>381</v>
      </c>
      <c r="D242" s="3" t="s">
        <v>440</v>
      </c>
      <c r="E242" s="3" t="s">
        <v>855</v>
      </c>
      <c r="G242" t="s">
        <v>644</v>
      </c>
    </row>
    <row r="243" spans="1:7" x14ac:dyDescent="0.35">
      <c r="A243" s="1">
        <v>42632</v>
      </c>
      <c r="B243" t="s">
        <v>441</v>
      </c>
      <c r="C243" t="s">
        <v>36</v>
      </c>
      <c r="D243" s="3" t="s">
        <v>442</v>
      </c>
      <c r="E243" s="3" t="s">
        <v>856</v>
      </c>
      <c r="F243" s="2">
        <v>8000</v>
      </c>
      <c r="G243" t="s">
        <v>644</v>
      </c>
    </row>
    <row r="244" spans="1:7" x14ac:dyDescent="0.35">
      <c r="A244" s="1">
        <v>42633</v>
      </c>
      <c r="B244" t="s">
        <v>443</v>
      </c>
      <c r="C244" t="s">
        <v>66</v>
      </c>
      <c r="D244" s="3" t="s">
        <v>444</v>
      </c>
      <c r="E244" s="3" t="s">
        <v>857</v>
      </c>
      <c r="F244" s="2">
        <v>2000</v>
      </c>
      <c r="G244" t="s">
        <v>644</v>
      </c>
    </row>
    <row r="245" spans="1:7" x14ac:dyDescent="0.35">
      <c r="A245" s="1">
        <v>42633</v>
      </c>
      <c r="B245" t="s">
        <v>445</v>
      </c>
      <c r="C245" t="s">
        <v>66</v>
      </c>
      <c r="D245" s="3" t="s">
        <v>446</v>
      </c>
      <c r="E245" s="3" t="s">
        <v>858</v>
      </c>
      <c r="F245" s="2">
        <v>6000</v>
      </c>
      <c r="G245" t="s">
        <v>644</v>
      </c>
    </row>
    <row r="246" spans="1:7" x14ac:dyDescent="0.35">
      <c r="A246" s="1">
        <v>42634</v>
      </c>
      <c r="B246" t="s">
        <v>378</v>
      </c>
      <c r="C246" t="s">
        <v>56</v>
      </c>
      <c r="D246" s="3" t="s">
        <v>447</v>
      </c>
      <c r="E246" s="3" t="s">
        <v>859</v>
      </c>
      <c r="G246" t="s">
        <v>644</v>
      </c>
    </row>
    <row r="247" spans="1:7" x14ac:dyDescent="0.35">
      <c r="A247" s="1">
        <v>42635</v>
      </c>
      <c r="B247" t="s">
        <v>448</v>
      </c>
      <c r="C247" t="s">
        <v>268</v>
      </c>
      <c r="D247" s="3" t="s">
        <v>449</v>
      </c>
      <c r="E247" s="3" t="s">
        <v>860</v>
      </c>
      <c r="F247" s="2">
        <v>3000</v>
      </c>
      <c r="G247" t="s">
        <v>644</v>
      </c>
    </row>
    <row r="248" spans="1:7" x14ac:dyDescent="0.35">
      <c r="A248" s="1">
        <v>42637</v>
      </c>
      <c r="B248" t="s">
        <v>544</v>
      </c>
      <c r="C248" t="s">
        <v>43</v>
      </c>
      <c r="D248" s="3" t="s">
        <v>545</v>
      </c>
      <c r="E248" s="3" t="s">
        <v>861</v>
      </c>
      <c r="F248" s="2">
        <v>9000</v>
      </c>
      <c r="G248" t="s">
        <v>644</v>
      </c>
    </row>
    <row r="249" spans="1:7" x14ac:dyDescent="0.35">
      <c r="A249" s="1">
        <v>42640</v>
      </c>
      <c r="B249" t="s">
        <v>450</v>
      </c>
      <c r="C249" t="s">
        <v>36</v>
      </c>
      <c r="D249" s="3" t="s">
        <v>451</v>
      </c>
      <c r="E249" s="3" t="s">
        <v>862</v>
      </c>
      <c r="F249" s="2"/>
      <c r="G249" t="s">
        <v>644</v>
      </c>
    </row>
    <row r="250" spans="1:7" x14ac:dyDescent="0.35">
      <c r="A250" s="1">
        <v>42641</v>
      </c>
      <c r="B250" t="s">
        <v>85</v>
      </c>
      <c r="C250" t="s">
        <v>12</v>
      </c>
      <c r="D250" s="3" t="s">
        <v>86</v>
      </c>
      <c r="E250" s="3" t="s">
        <v>676</v>
      </c>
      <c r="F250" s="2">
        <v>1200</v>
      </c>
      <c r="G250" t="s">
        <v>644</v>
      </c>
    </row>
    <row r="251" spans="1:7" x14ac:dyDescent="0.35">
      <c r="A251" s="1">
        <v>42641</v>
      </c>
      <c r="B251" t="s">
        <v>546</v>
      </c>
      <c r="C251" t="s">
        <v>239</v>
      </c>
      <c r="D251" s="3" t="s">
        <v>547</v>
      </c>
      <c r="E251" s="3" t="s">
        <v>863</v>
      </c>
      <c r="F251" s="2">
        <v>1500</v>
      </c>
      <c r="G251" t="s">
        <v>644</v>
      </c>
    </row>
    <row r="252" spans="1:7" x14ac:dyDescent="0.35">
      <c r="A252" s="1">
        <v>42642</v>
      </c>
      <c r="B252" t="s">
        <v>548</v>
      </c>
      <c r="C252" t="s">
        <v>6</v>
      </c>
      <c r="D252" s="3" t="s">
        <v>549</v>
      </c>
      <c r="E252" s="3" t="s">
        <v>864</v>
      </c>
      <c r="F252" s="2">
        <v>850</v>
      </c>
      <c r="G252" t="s">
        <v>644</v>
      </c>
    </row>
    <row r="253" spans="1:7" x14ac:dyDescent="0.35">
      <c r="A253" s="1">
        <v>42643</v>
      </c>
      <c r="B253" t="s">
        <v>550</v>
      </c>
      <c r="C253" t="s">
        <v>81</v>
      </c>
      <c r="D253" s="3" t="s">
        <v>551</v>
      </c>
      <c r="E253" s="3" t="s">
        <v>865</v>
      </c>
      <c r="F253" s="2">
        <v>6000</v>
      </c>
      <c r="G253" t="s">
        <v>644</v>
      </c>
    </row>
    <row r="254" spans="1:7" x14ac:dyDescent="0.35">
      <c r="A254" s="1">
        <v>42644</v>
      </c>
      <c r="B254" t="s">
        <v>552</v>
      </c>
      <c r="C254" t="s">
        <v>268</v>
      </c>
      <c r="D254" s="3" t="s">
        <v>553</v>
      </c>
      <c r="E254" s="3" t="s">
        <v>866</v>
      </c>
      <c r="F254" s="2">
        <v>6000</v>
      </c>
      <c r="G254" t="s">
        <v>644</v>
      </c>
    </row>
    <row r="255" spans="1:7" x14ac:dyDescent="0.35">
      <c r="A255" s="1">
        <v>42646</v>
      </c>
      <c r="B255" t="s">
        <v>554</v>
      </c>
      <c r="C255" t="s">
        <v>381</v>
      </c>
      <c r="D255" s="3" t="s">
        <v>555</v>
      </c>
      <c r="E255" s="3" t="s">
        <v>867</v>
      </c>
      <c r="F255" s="2">
        <v>2000</v>
      </c>
      <c r="G255" t="s">
        <v>644</v>
      </c>
    </row>
    <row r="256" spans="1:7" x14ac:dyDescent="0.35">
      <c r="A256" s="1">
        <v>42646</v>
      </c>
      <c r="B256" t="s">
        <v>452</v>
      </c>
      <c r="C256" t="s">
        <v>381</v>
      </c>
      <c r="D256" s="3" t="s">
        <v>453</v>
      </c>
      <c r="E256" s="3" t="s">
        <v>868</v>
      </c>
      <c r="F256" s="2">
        <v>8000</v>
      </c>
      <c r="G256" t="s">
        <v>644</v>
      </c>
    </row>
    <row r="257" spans="1:7" x14ac:dyDescent="0.35">
      <c r="A257" s="1">
        <v>42647</v>
      </c>
      <c r="B257" t="s">
        <v>454</v>
      </c>
      <c r="C257" t="s">
        <v>8</v>
      </c>
      <c r="D257" s="3" t="s">
        <v>455</v>
      </c>
      <c r="E257" s="3" t="s">
        <v>869</v>
      </c>
      <c r="F257" s="2">
        <v>7000</v>
      </c>
      <c r="G257" t="s">
        <v>644</v>
      </c>
    </row>
    <row r="258" spans="1:7" x14ac:dyDescent="0.35">
      <c r="A258" s="1">
        <v>42648</v>
      </c>
      <c r="B258" t="s">
        <v>456</v>
      </c>
      <c r="C258" t="s">
        <v>41</v>
      </c>
      <c r="D258" s="3" t="s">
        <v>457</v>
      </c>
      <c r="E258" s="3" t="s">
        <v>870</v>
      </c>
      <c r="F258" s="2">
        <v>7000</v>
      </c>
      <c r="G258" t="s">
        <v>644</v>
      </c>
    </row>
    <row r="259" spans="1:7" x14ac:dyDescent="0.35">
      <c r="A259" s="1">
        <v>42648</v>
      </c>
      <c r="B259" t="s">
        <v>97</v>
      </c>
      <c r="C259" t="s">
        <v>41</v>
      </c>
      <c r="D259" s="3" t="s">
        <v>458</v>
      </c>
      <c r="E259" s="3" t="s">
        <v>871</v>
      </c>
      <c r="G259" t="s">
        <v>644</v>
      </c>
    </row>
    <row r="260" spans="1:7" x14ac:dyDescent="0.35">
      <c r="A260" s="1">
        <v>42653</v>
      </c>
      <c r="B260" t="s">
        <v>459</v>
      </c>
      <c r="C260" t="s">
        <v>268</v>
      </c>
      <c r="D260" s="3" t="s">
        <v>460</v>
      </c>
      <c r="E260" s="3" t="s">
        <v>872</v>
      </c>
      <c r="F260" s="2">
        <v>3000</v>
      </c>
      <c r="G260" t="s">
        <v>644</v>
      </c>
    </row>
    <row r="261" spans="1:7" x14ac:dyDescent="0.35">
      <c r="A261" s="1">
        <v>42653</v>
      </c>
      <c r="B261" t="s">
        <v>305</v>
      </c>
      <c r="C261" t="s">
        <v>268</v>
      </c>
      <c r="D261" s="3" t="s">
        <v>306</v>
      </c>
      <c r="E261" s="3" t="s">
        <v>792</v>
      </c>
      <c r="F261" s="2">
        <v>9000</v>
      </c>
      <c r="G261" t="s">
        <v>644</v>
      </c>
    </row>
    <row r="262" spans="1:7" x14ac:dyDescent="0.35">
      <c r="A262" s="1">
        <v>42654</v>
      </c>
      <c r="B262" t="s">
        <v>461</v>
      </c>
      <c r="C262" t="s">
        <v>36</v>
      </c>
      <c r="D262" s="3" t="s">
        <v>462</v>
      </c>
      <c r="E262" s="3" t="s">
        <v>873</v>
      </c>
      <c r="F262" s="2">
        <v>8500</v>
      </c>
      <c r="G262" t="s">
        <v>644</v>
      </c>
    </row>
    <row r="263" spans="1:7" x14ac:dyDescent="0.35">
      <c r="A263" s="1">
        <v>42655</v>
      </c>
      <c r="B263" t="s">
        <v>463</v>
      </c>
      <c r="C263" t="s">
        <v>36</v>
      </c>
      <c r="D263" s="3" t="s">
        <v>464</v>
      </c>
      <c r="E263" s="3" t="s">
        <v>874</v>
      </c>
      <c r="F263" s="2">
        <v>12000</v>
      </c>
      <c r="G263" t="s">
        <v>644</v>
      </c>
    </row>
    <row r="264" spans="1:7" x14ac:dyDescent="0.35">
      <c r="A264" s="1">
        <v>42655</v>
      </c>
      <c r="B264" t="s">
        <v>465</v>
      </c>
      <c r="C264" t="s">
        <v>36</v>
      </c>
      <c r="D264" s="3" t="s">
        <v>466</v>
      </c>
      <c r="E264" s="3" t="s">
        <v>875</v>
      </c>
      <c r="F264" s="2">
        <v>7000</v>
      </c>
      <c r="G264" t="s">
        <v>644</v>
      </c>
    </row>
    <row r="265" spans="1:7" x14ac:dyDescent="0.35">
      <c r="A265" s="1">
        <v>42656</v>
      </c>
      <c r="B265" t="s">
        <v>467</v>
      </c>
      <c r="C265" t="s">
        <v>36</v>
      </c>
      <c r="D265" s="3" t="s">
        <v>468</v>
      </c>
      <c r="E265" s="3" t="s">
        <v>876</v>
      </c>
      <c r="F265" s="2">
        <v>6000</v>
      </c>
      <c r="G265" t="s">
        <v>644</v>
      </c>
    </row>
    <row r="266" spans="1:7" x14ac:dyDescent="0.35">
      <c r="A266" s="1">
        <v>42656</v>
      </c>
      <c r="B266" t="s">
        <v>370</v>
      </c>
      <c r="C266" t="s">
        <v>56</v>
      </c>
      <c r="D266" s="3" t="s">
        <v>469</v>
      </c>
      <c r="E266" s="3" t="s">
        <v>877</v>
      </c>
      <c r="G266" t="s">
        <v>644</v>
      </c>
    </row>
    <row r="267" spans="1:7" x14ac:dyDescent="0.35">
      <c r="A267" s="1">
        <v>42657</v>
      </c>
      <c r="B267" t="s">
        <v>357</v>
      </c>
      <c r="C267" t="s">
        <v>66</v>
      </c>
      <c r="D267" s="3" t="s">
        <v>470</v>
      </c>
      <c r="E267" s="3" t="s">
        <v>813</v>
      </c>
      <c r="F267" s="2">
        <v>4000</v>
      </c>
      <c r="G267" t="s">
        <v>644</v>
      </c>
    </row>
    <row r="268" spans="1:7" x14ac:dyDescent="0.35">
      <c r="A268" s="1">
        <v>42657</v>
      </c>
      <c r="B268" t="s">
        <v>412</v>
      </c>
      <c r="C268" t="s">
        <v>66</v>
      </c>
      <c r="D268" s="3" t="s">
        <v>413</v>
      </c>
      <c r="E268" s="3" t="s">
        <v>840</v>
      </c>
      <c r="F268" s="2">
        <v>5000</v>
      </c>
      <c r="G268" t="s">
        <v>644</v>
      </c>
    </row>
    <row r="269" spans="1:7" x14ac:dyDescent="0.35">
      <c r="A269" s="1">
        <v>42658</v>
      </c>
      <c r="B269" t="s">
        <v>142</v>
      </c>
      <c r="C269" t="s">
        <v>6</v>
      </c>
      <c r="D269" s="3" t="s">
        <v>471</v>
      </c>
      <c r="E269" s="3" t="s">
        <v>714</v>
      </c>
      <c r="F269" s="2">
        <v>7000</v>
      </c>
      <c r="G269" t="s">
        <v>644</v>
      </c>
    </row>
    <row r="270" spans="1:7" x14ac:dyDescent="0.35">
      <c r="A270" s="1">
        <v>42658</v>
      </c>
      <c r="B270" t="s">
        <v>367</v>
      </c>
      <c r="C270" t="s">
        <v>198</v>
      </c>
      <c r="D270" s="3" t="s">
        <v>368</v>
      </c>
      <c r="E270" s="3" t="s">
        <v>819</v>
      </c>
      <c r="F270" s="2">
        <v>4000</v>
      </c>
      <c r="G270" t="s">
        <v>644</v>
      </c>
    </row>
    <row r="271" spans="1:7" x14ac:dyDescent="0.35">
      <c r="A271" s="1">
        <v>42660</v>
      </c>
      <c r="B271" t="s">
        <v>394</v>
      </c>
      <c r="C271" t="s">
        <v>239</v>
      </c>
      <c r="D271" s="3" t="s">
        <v>395</v>
      </c>
      <c r="E271" s="3" t="s">
        <v>832</v>
      </c>
      <c r="F271" s="2">
        <v>3000</v>
      </c>
      <c r="G271" t="s">
        <v>644</v>
      </c>
    </row>
    <row r="272" spans="1:7" x14ac:dyDescent="0.35">
      <c r="A272" s="1">
        <v>42661</v>
      </c>
      <c r="B272" t="s">
        <v>380</v>
      </c>
      <c r="C272" t="s">
        <v>381</v>
      </c>
      <c r="D272" s="3" t="s">
        <v>472</v>
      </c>
      <c r="E272" s="3" t="s">
        <v>878</v>
      </c>
      <c r="G272" t="s">
        <v>644</v>
      </c>
    </row>
    <row r="273" spans="1:7" x14ac:dyDescent="0.35">
      <c r="A273" s="1">
        <v>42661</v>
      </c>
      <c r="B273" t="s">
        <v>473</v>
      </c>
      <c r="C273" t="s">
        <v>381</v>
      </c>
      <c r="D273" s="3" t="s">
        <v>474</v>
      </c>
      <c r="E273" s="3" t="s">
        <v>879</v>
      </c>
      <c r="G273" t="s">
        <v>644</v>
      </c>
    </row>
    <row r="274" spans="1:7" x14ac:dyDescent="0.35">
      <c r="A274" s="1">
        <v>42663</v>
      </c>
      <c r="B274" t="s">
        <v>475</v>
      </c>
      <c r="C274" t="s">
        <v>56</v>
      </c>
      <c r="D274" s="3" t="s">
        <v>476</v>
      </c>
      <c r="E274" s="3" t="s">
        <v>880</v>
      </c>
      <c r="F274" s="2">
        <v>1500</v>
      </c>
      <c r="G274" t="s">
        <v>644</v>
      </c>
    </row>
    <row r="275" spans="1:7" x14ac:dyDescent="0.35">
      <c r="A275" s="1">
        <v>42664</v>
      </c>
      <c r="B275" t="s">
        <v>477</v>
      </c>
      <c r="C275" t="s">
        <v>66</v>
      </c>
      <c r="D275" s="3" t="s">
        <v>478</v>
      </c>
      <c r="E275" s="3" t="s">
        <v>881</v>
      </c>
      <c r="F275" s="2">
        <v>3100</v>
      </c>
      <c r="G275" t="s">
        <v>644</v>
      </c>
    </row>
    <row r="276" spans="1:7" x14ac:dyDescent="0.35">
      <c r="A276" s="1">
        <v>42664</v>
      </c>
      <c r="B276" t="s">
        <v>479</v>
      </c>
      <c r="C276" t="s">
        <v>268</v>
      </c>
      <c r="D276" s="3" t="s">
        <v>480</v>
      </c>
      <c r="E276" s="3" t="s">
        <v>882</v>
      </c>
      <c r="F276" s="2">
        <v>4000</v>
      </c>
      <c r="G276" t="s">
        <v>644</v>
      </c>
    </row>
    <row r="277" spans="1:7" x14ac:dyDescent="0.35">
      <c r="A277" s="1">
        <v>42664</v>
      </c>
      <c r="B277" t="s">
        <v>481</v>
      </c>
      <c r="C277" t="s">
        <v>268</v>
      </c>
      <c r="D277" s="3" t="s">
        <v>482</v>
      </c>
      <c r="E277" s="3" t="s">
        <v>883</v>
      </c>
      <c r="F277" s="2">
        <v>4000</v>
      </c>
      <c r="G277" t="s">
        <v>644</v>
      </c>
    </row>
    <row r="278" spans="1:7" x14ac:dyDescent="0.35">
      <c r="A278" s="1">
        <v>42665</v>
      </c>
      <c r="B278" t="s">
        <v>483</v>
      </c>
      <c r="C278" t="s">
        <v>43</v>
      </c>
      <c r="D278" s="3" t="s">
        <v>484</v>
      </c>
      <c r="E278" s="3" t="s">
        <v>884</v>
      </c>
      <c r="F278" s="2">
        <v>10000</v>
      </c>
      <c r="G278" t="s">
        <v>644</v>
      </c>
    </row>
    <row r="279" spans="1:7" x14ac:dyDescent="0.35">
      <c r="A279" s="1">
        <v>42665</v>
      </c>
      <c r="B279" t="s">
        <v>218</v>
      </c>
      <c r="C279" t="s">
        <v>56</v>
      </c>
      <c r="D279" s="3" t="s">
        <v>219</v>
      </c>
      <c r="E279" s="3" t="s">
        <v>752</v>
      </c>
      <c r="G279" t="s">
        <v>644</v>
      </c>
    </row>
    <row r="280" spans="1:7" x14ac:dyDescent="0.35">
      <c r="A280" s="1">
        <v>42666</v>
      </c>
      <c r="B280" t="s">
        <v>485</v>
      </c>
      <c r="C280" t="s">
        <v>36</v>
      </c>
      <c r="D280" s="3" t="s">
        <v>486</v>
      </c>
      <c r="E280" s="3" t="s">
        <v>885</v>
      </c>
      <c r="F280" s="2">
        <v>12000</v>
      </c>
      <c r="G280" t="s">
        <v>644</v>
      </c>
    </row>
    <row r="281" spans="1:7" x14ac:dyDescent="0.35">
      <c r="A281" s="1">
        <v>42667</v>
      </c>
      <c r="B281" t="s">
        <v>487</v>
      </c>
      <c r="C281" t="s">
        <v>36</v>
      </c>
      <c r="D281" s="3" t="s">
        <v>488</v>
      </c>
      <c r="E281" s="3" t="s">
        <v>886</v>
      </c>
      <c r="G281" t="s">
        <v>644</v>
      </c>
    </row>
    <row r="282" spans="1:7" x14ac:dyDescent="0.35">
      <c r="A282" s="1">
        <v>42667</v>
      </c>
      <c r="B282" t="s">
        <v>158</v>
      </c>
      <c r="C282" t="s">
        <v>36</v>
      </c>
      <c r="D282" s="3" t="s">
        <v>489</v>
      </c>
      <c r="E282" s="3" t="s">
        <v>845</v>
      </c>
      <c r="F282">
        <v>15001</v>
      </c>
      <c r="G282" t="s">
        <v>644</v>
      </c>
    </row>
    <row r="283" spans="1:7" x14ac:dyDescent="0.35">
      <c r="A283" s="1">
        <v>42668</v>
      </c>
      <c r="B283" t="s">
        <v>490</v>
      </c>
      <c r="C283" t="s">
        <v>36</v>
      </c>
      <c r="D283" s="3" t="s">
        <v>491</v>
      </c>
      <c r="E283" s="3" t="s">
        <v>887</v>
      </c>
      <c r="F283" s="2">
        <v>10000</v>
      </c>
      <c r="G283" t="s">
        <v>644</v>
      </c>
    </row>
    <row r="284" spans="1:7" x14ac:dyDescent="0.35">
      <c r="A284" s="1">
        <v>42668</v>
      </c>
      <c r="B284" t="s">
        <v>492</v>
      </c>
      <c r="C284" t="s">
        <v>36</v>
      </c>
      <c r="D284" s="3" t="s">
        <v>493</v>
      </c>
      <c r="E284" s="3" t="s">
        <v>888</v>
      </c>
      <c r="G284" t="s">
        <v>644</v>
      </c>
    </row>
    <row r="285" spans="1:7" x14ac:dyDescent="0.35">
      <c r="A285" s="1">
        <v>42669</v>
      </c>
      <c r="B285" t="s">
        <v>494</v>
      </c>
      <c r="C285" t="s">
        <v>66</v>
      </c>
      <c r="D285" s="3" t="s">
        <v>495</v>
      </c>
      <c r="E285" s="3" t="s">
        <v>889</v>
      </c>
      <c r="F285" s="2">
        <v>3100</v>
      </c>
      <c r="G285" t="s">
        <v>644</v>
      </c>
    </row>
    <row r="286" spans="1:7" x14ac:dyDescent="0.35">
      <c r="A286" s="1">
        <v>42670</v>
      </c>
      <c r="B286" t="s">
        <v>45</v>
      </c>
      <c r="C286" t="s">
        <v>56</v>
      </c>
      <c r="D286" s="3" t="s">
        <v>496</v>
      </c>
      <c r="E286" s="3" t="s">
        <v>890</v>
      </c>
      <c r="F286" s="2">
        <v>5000</v>
      </c>
      <c r="G286" t="s">
        <v>644</v>
      </c>
    </row>
    <row r="287" spans="1:7" x14ac:dyDescent="0.35">
      <c r="A287" s="1">
        <v>42670</v>
      </c>
      <c r="B287" t="s">
        <v>378</v>
      </c>
      <c r="C287" t="s">
        <v>56</v>
      </c>
      <c r="D287" s="3" t="s">
        <v>497</v>
      </c>
      <c r="E287" s="3" t="s">
        <v>825</v>
      </c>
      <c r="F287" s="2">
        <v>2850</v>
      </c>
      <c r="G287" t="s">
        <v>644</v>
      </c>
    </row>
    <row r="288" spans="1:7" x14ac:dyDescent="0.35">
      <c r="A288" s="1">
        <v>42670</v>
      </c>
      <c r="B288" t="s">
        <v>498</v>
      </c>
      <c r="C288" t="s">
        <v>56</v>
      </c>
      <c r="D288" s="3" t="s">
        <v>499</v>
      </c>
      <c r="E288" s="3" t="s">
        <v>891</v>
      </c>
      <c r="F288" s="2">
        <v>5000</v>
      </c>
      <c r="G288" t="s">
        <v>644</v>
      </c>
    </row>
    <row r="289" spans="1:7" x14ac:dyDescent="0.35">
      <c r="A289" s="1">
        <v>42671</v>
      </c>
      <c r="B289" t="s">
        <v>5</v>
      </c>
      <c r="C289" t="s">
        <v>6</v>
      </c>
      <c r="D289" s="3" t="s">
        <v>425</v>
      </c>
      <c r="E289" s="3" t="s">
        <v>718</v>
      </c>
      <c r="G289" t="s">
        <v>644</v>
      </c>
    </row>
    <row r="290" spans="1:7" x14ac:dyDescent="0.35">
      <c r="A290" s="1">
        <v>42671</v>
      </c>
      <c r="B290" t="s">
        <v>500</v>
      </c>
      <c r="C290" t="s">
        <v>198</v>
      </c>
      <c r="D290" s="3" t="s">
        <v>501</v>
      </c>
      <c r="E290" s="3" t="s">
        <v>892</v>
      </c>
      <c r="F290" s="2">
        <v>1200</v>
      </c>
      <c r="G290" t="s">
        <v>644</v>
      </c>
    </row>
    <row r="291" spans="1:7" x14ac:dyDescent="0.35">
      <c r="A291" s="1">
        <v>42671</v>
      </c>
      <c r="B291" t="s">
        <v>78</v>
      </c>
      <c r="C291" t="s">
        <v>12</v>
      </c>
      <c r="D291" s="3" t="s">
        <v>502</v>
      </c>
      <c r="E291" s="3" t="s">
        <v>673</v>
      </c>
      <c r="F291" s="2">
        <v>5000</v>
      </c>
      <c r="G291" t="s">
        <v>644</v>
      </c>
    </row>
    <row r="292" spans="1:7" x14ac:dyDescent="0.35">
      <c r="A292" s="1">
        <v>42672</v>
      </c>
      <c r="B292" t="s">
        <v>503</v>
      </c>
      <c r="C292" t="s">
        <v>381</v>
      </c>
      <c r="D292" s="3" t="s">
        <v>504</v>
      </c>
      <c r="E292" s="3" t="s">
        <v>893</v>
      </c>
      <c r="G292" t="s">
        <v>644</v>
      </c>
    </row>
    <row r="293" spans="1:7" x14ac:dyDescent="0.35">
      <c r="A293" s="1">
        <v>42672</v>
      </c>
      <c r="B293" t="s">
        <v>7</v>
      </c>
      <c r="C293" t="s">
        <v>8</v>
      </c>
      <c r="D293" s="3" t="s">
        <v>9</v>
      </c>
      <c r="E293" s="3" t="s">
        <v>848</v>
      </c>
      <c r="F293" s="2">
        <v>8000</v>
      </c>
      <c r="G293" t="s">
        <v>644</v>
      </c>
    </row>
    <row r="294" spans="1:7" x14ac:dyDescent="0.35">
      <c r="A294" s="1">
        <v>42673</v>
      </c>
      <c r="B294" t="s">
        <v>75</v>
      </c>
      <c r="C294" t="s">
        <v>41</v>
      </c>
      <c r="D294" s="3" t="s">
        <v>505</v>
      </c>
      <c r="E294" s="3" t="s">
        <v>672</v>
      </c>
      <c r="F294" s="2">
        <v>8400</v>
      </c>
      <c r="G294" t="s">
        <v>644</v>
      </c>
    </row>
    <row r="295" spans="1:7" x14ac:dyDescent="0.35">
      <c r="A295" s="1">
        <v>42673</v>
      </c>
      <c r="B295" t="s">
        <v>506</v>
      </c>
      <c r="C295" t="s">
        <v>381</v>
      </c>
      <c r="D295" s="3" t="s">
        <v>507</v>
      </c>
      <c r="E295" s="3" t="s">
        <v>894</v>
      </c>
      <c r="F295">
        <v>3001</v>
      </c>
      <c r="G295" t="s">
        <v>644</v>
      </c>
    </row>
    <row r="296" spans="1:7" x14ac:dyDescent="0.35">
      <c r="A296" s="1">
        <v>42673</v>
      </c>
      <c r="B296" t="s">
        <v>335</v>
      </c>
      <c r="C296" t="s">
        <v>336</v>
      </c>
      <c r="D296" s="3" t="s">
        <v>508</v>
      </c>
      <c r="E296" s="3" t="s">
        <v>895</v>
      </c>
      <c r="F296" s="2">
        <v>4000</v>
      </c>
      <c r="G296" t="s">
        <v>644</v>
      </c>
    </row>
    <row r="297" spans="1:7" x14ac:dyDescent="0.35">
      <c r="A297" s="1">
        <v>42674</v>
      </c>
      <c r="B297" t="s">
        <v>80</v>
      </c>
      <c r="C297" t="s">
        <v>81</v>
      </c>
      <c r="D297" s="3" t="s">
        <v>82</v>
      </c>
      <c r="E297" s="3" t="s">
        <v>674</v>
      </c>
      <c r="F297" s="2">
        <v>6500</v>
      </c>
      <c r="G297" t="s">
        <v>644</v>
      </c>
    </row>
    <row r="298" spans="1:7" x14ac:dyDescent="0.35">
      <c r="A298" s="1">
        <v>42674</v>
      </c>
      <c r="B298" t="s">
        <v>200</v>
      </c>
      <c r="C298" t="s">
        <v>81</v>
      </c>
      <c r="D298" s="3" t="s">
        <v>509</v>
      </c>
      <c r="E298" s="3" t="s">
        <v>743</v>
      </c>
      <c r="F298" s="2">
        <v>5000</v>
      </c>
      <c r="G298" t="s">
        <v>644</v>
      </c>
    </row>
    <row r="299" spans="1:7" x14ac:dyDescent="0.35">
      <c r="A299" s="1">
        <v>42675</v>
      </c>
      <c r="B299" t="s">
        <v>245</v>
      </c>
      <c r="C299" t="s">
        <v>239</v>
      </c>
      <c r="D299" s="3" t="s">
        <v>510</v>
      </c>
      <c r="E299" s="3" t="s">
        <v>765</v>
      </c>
      <c r="F299" s="2">
        <v>3000</v>
      </c>
      <c r="G299" t="s">
        <v>644</v>
      </c>
    </row>
    <row r="300" spans="1:7" x14ac:dyDescent="0.35">
      <c r="A300" s="1">
        <v>42676</v>
      </c>
      <c r="B300" t="s">
        <v>206</v>
      </c>
      <c r="C300" t="s">
        <v>36</v>
      </c>
      <c r="D300" s="3" t="s">
        <v>511</v>
      </c>
      <c r="E300" s="3" t="s">
        <v>896</v>
      </c>
      <c r="F300" s="2">
        <v>10000</v>
      </c>
      <c r="G300" t="s">
        <v>644</v>
      </c>
    </row>
    <row r="301" spans="1:7" x14ac:dyDescent="0.35">
      <c r="A301" s="1">
        <v>42676</v>
      </c>
      <c r="B301" t="s">
        <v>102</v>
      </c>
      <c r="C301" t="s">
        <v>36</v>
      </c>
      <c r="D301" s="3" t="s">
        <v>512</v>
      </c>
      <c r="E301" s="3" t="s">
        <v>688</v>
      </c>
      <c r="F301">
        <v>6000</v>
      </c>
      <c r="G301" t="s">
        <v>644</v>
      </c>
    </row>
    <row r="302" spans="1:7" x14ac:dyDescent="0.35">
      <c r="A302" s="1">
        <v>42676</v>
      </c>
      <c r="B302" t="s">
        <v>438</v>
      </c>
      <c r="C302" t="s">
        <v>36</v>
      </c>
      <c r="D302" s="3" t="s">
        <v>513</v>
      </c>
      <c r="E302" s="3" t="s">
        <v>854</v>
      </c>
      <c r="F302" s="2">
        <v>2600</v>
      </c>
      <c r="G302" t="s">
        <v>644</v>
      </c>
    </row>
    <row r="303" spans="1:7" x14ac:dyDescent="0.35">
      <c r="A303" s="1">
        <v>42677</v>
      </c>
      <c r="B303" t="s">
        <v>35</v>
      </c>
      <c r="C303" t="s">
        <v>36</v>
      </c>
      <c r="D303" s="3" t="s">
        <v>514</v>
      </c>
      <c r="E303" s="3" t="s">
        <v>897</v>
      </c>
      <c r="F303" s="2">
        <v>4000</v>
      </c>
      <c r="G303" t="s">
        <v>644</v>
      </c>
    </row>
    <row r="304" spans="1:7" x14ac:dyDescent="0.35">
      <c r="A304" s="1">
        <v>42677</v>
      </c>
      <c r="B304" t="s">
        <v>105</v>
      </c>
      <c r="C304" t="s">
        <v>66</v>
      </c>
      <c r="D304" s="3" t="s">
        <v>211</v>
      </c>
      <c r="E304" s="3" t="s">
        <v>748</v>
      </c>
      <c r="F304" s="2">
        <v>4200</v>
      </c>
      <c r="G304" t="s">
        <v>644</v>
      </c>
    </row>
    <row r="305" spans="1:7" x14ac:dyDescent="0.35">
      <c r="A305" s="1">
        <v>42677</v>
      </c>
      <c r="B305" t="s">
        <v>515</v>
      </c>
      <c r="C305" t="s">
        <v>66</v>
      </c>
      <c r="D305" s="3" t="s">
        <v>516</v>
      </c>
      <c r="E305" s="3" t="s">
        <v>898</v>
      </c>
      <c r="F305" s="2">
        <v>15000</v>
      </c>
      <c r="G305" t="s">
        <v>644</v>
      </c>
    </row>
    <row r="306" spans="1:7" x14ac:dyDescent="0.35">
      <c r="A306" s="1">
        <v>42678</v>
      </c>
      <c r="B306" t="s">
        <v>517</v>
      </c>
      <c r="C306" t="s">
        <v>6</v>
      </c>
      <c r="D306" s="3" t="s">
        <v>518</v>
      </c>
      <c r="E306" s="3" t="s">
        <v>899</v>
      </c>
      <c r="F306" s="2">
        <v>1000</v>
      </c>
      <c r="G306" t="s">
        <v>644</v>
      </c>
    </row>
    <row r="307" spans="1:7" x14ac:dyDescent="0.35">
      <c r="A307" s="1">
        <v>42678</v>
      </c>
      <c r="B307" t="s">
        <v>398</v>
      </c>
      <c r="C307" t="s">
        <v>56</v>
      </c>
      <c r="D307" s="3" t="s">
        <v>519</v>
      </c>
      <c r="E307" s="3" t="s">
        <v>849</v>
      </c>
      <c r="F307" s="2">
        <v>3000</v>
      </c>
      <c r="G307" t="s">
        <v>644</v>
      </c>
    </row>
    <row r="308" spans="1:7" x14ac:dyDescent="0.35">
      <c r="A308" s="1">
        <v>42678</v>
      </c>
      <c r="B308" t="s">
        <v>520</v>
      </c>
      <c r="C308" t="s">
        <v>268</v>
      </c>
      <c r="D308" s="3" t="s">
        <v>521</v>
      </c>
      <c r="E308" s="3" t="s">
        <v>900</v>
      </c>
      <c r="F308" s="2">
        <v>13000</v>
      </c>
      <c r="G308" t="s">
        <v>644</v>
      </c>
    </row>
    <row r="309" spans="1:7" x14ac:dyDescent="0.35">
      <c r="A309" s="1">
        <v>42679</v>
      </c>
      <c r="B309" t="s">
        <v>158</v>
      </c>
      <c r="C309" t="s">
        <v>36</v>
      </c>
      <c r="D309" s="3" t="s">
        <v>522</v>
      </c>
      <c r="E309" s="3" t="s">
        <v>845</v>
      </c>
      <c r="F309" s="2">
        <v>5000</v>
      </c>
      <c r="G309" t="s">
        <v>644</v>
      </c>
    </row>
    <row r="310" spans="1:7" x14ac:dyDescent="0.35">
      <c r="A310" s="1">
        <v>42679</v>
      </c>
      <c r="B310" t="s">
        <v>398</v>
      </c>
      <c r="C310" t="s">
        <v>66</v>
      </c>
      <c r="D310" s="3" t="s">
        <v>523</v>
      </c>
      <c r="E310" s="3" t="s">
        <v>901</v>
      </c>
      <c r="F310" s="2">
        <v>5000</v>
      </c>
      <c r="G310" t="s">
        <v>644</v>
      </c>
    </row>
    <row r="311" spans="1:7" x14ac:dyDescent="0.35">
      <c r="A311" s="1">
        <v>42679</v>
      </c>
      <c r="B311" t="s">
        <v>97</v>
      </c>
      <c r="C311" t="s">
        <v>41</v>
      </c>
      <c r="D311" s="3" t="s">
        <v>458</v>
      </c>
      <c r="E311" s="3" t="s">
        <v>871</v>
      </c>
      <c r="F311" s="2">
        <v>8000</v>
      </c>
      <c r="G311" t="s">
        <v>644</v>
      </c>
    </row>
    <row r="312" spans="1:7" x14ac:dyDescent="0.35">
      <c r="A312" s="1">
        <v>42679</v>
      </c>
      <c r="B312" t="s">
        <v>383</v>
      </c>
      <c r="C312" t="s">
        <v>381</v>
      </c>
      <c r="D312" s="3" t="s">
        <v>524</v>
      </c>
      <c r="E312" s="3" t="s">
        <v>902</v>
      </c>
      <c r="F312" s="2">
        <v>8000</v>
      </c>
      <c r="G312" t="s">
        <v>644</v>
      </c>
    </row>
    <row r="313" spans="1:7" x14ac:dyDescent="0.35">
      <c r="A313" s="1">
        <v>42680</v>
      </c>
      <c r="B313" t="s">
        <v>38</v>
      </c>
      <c r="C313" t="s">
        <v>12</v>
      </c>
      <c r="D313" s="3" t="s">
        <v>525</v>
      </c>
      <c r="E313" s="3" t="s">
        <v>903</v>
      </c>
      <c r="F313" s="2">
        <v>4300</v>
      </c>
      <c r="G313" t="s">
        <v>644</v>
      </c>
    </row>
    <row r="314" spans="1:7" x14ac:dyDescent="0.35">
      <c r="A314" s="1">
        <v>42680</v>
      </c>
      <c r="B314" t="s">
        <v>526</v>
      </c>
      <c r="C314" t="s">
        <v>527</v>
      </c>
      <c r="D314" s="3" t="s">
        <v>528</v>
      </c>
      <c r="E314" s="3" t="s">
        <v>904</v>
      </c>
      <c r="F314" s="2">
        <v>9000</v>
      </c>
      <c r="G314" t="s">
        <v>644</v>
      </c>
    </row>
    <row r="315" spans="1:7" x14ac:dyDescent="0.35">
      <c r="A315" s="1">
        <v>42680</v>
      </c>
      <c r="B315" t="s">
        <v>529</v>
      </c>
      <c r="C315" t="s">
        <v>81</v>
      </c>
      <c r="D315" s="3" t="s">
        <v>530</v>
      </c>
      <c r="E315" s="3" t="s">
        <v>905</v>
      </c>
      <c r="F315" s="2">
        <v>8000</v>
      </c>
      <c r="G315" t="s">
        <v>644</v>
      </c>
    </row>
    <row r="316" spans="1:7" x14ac:dyDescent="0.35">
      <c r="A316" s="1">
        <v>42680</v>
      </c>
      <c r="B316" t="s">
        <v>531</v>
      </c>
      <c r="C316" t="s">
        <v>268</v>
      </c>
      <c r="D316" s="3" t="s">
        <v>532</v>
      </c>
      <c r="E316" s="3" t="s">
        <v>812</v>
      </c>
      <c r="F316" s="2">
        <v>12000</v>
      </c>
      <c r="G316" t="s">
        <v>644</v>
      </c>
    </row>
    <row r="317" spans="1:7" x14ac:dyDescent="0.35">
      <c r="A317" s="1">
        <v>42680</v>
      </c>
      <c r="B317" t="s">
        <v>533</v>
      </c>
      <c r="C317" t="s">
        <v>43</v>
      </c>
      <c r="D317" s="3" t="s">
        <v>534</v>
      </c>
      <c r="E317" s="3" t="s">
        <v>906</v>
      </c>
      <c r="F317" s="2">
        <v>9000</v>
      </c>
      <c r="G317" t="s">
        <v>644</v>
      </c>
    </row>
    <row r="318" spans="1:7" x14ac:dyDescent="0.35">
      <c r="A318" s="1">
        <v>42681</v>
      </c>
      <c r="B318" t="s">
        <v>60</v>
      </c>
      <c r="C318" t="s">
        <v>36</v>
      </c>
      <c r="D318" s="3" t="s">
        <v>535</v>
      </c>
      <c r="E318" s="3" t="s">
        <v>662</v>
      </c>
      <c r="F318" s="2">
        <v>5000</v>
      </c>
      <c r="G318" t="s">
        <v>644</v>
      </c>
    </row>
    <row r="319" spans="1:7" x14ac:dyDescent="0.35">
      <c r="A319" s="1">
        <v>42681</v>
      </c>
      <c r="B319" t="s">
        <v>65</v>
      </c>
      <c r="C319" t="s">
        <v>66</v>
      </c>
      <c r="D319" s="3" t="s">
        <v>67</v>
      </c>
      <c r="E319" s="3" t="s">
        <v>666</v>
      </c>
      <c r="F319" s="2">
        <v>7000</v>
      </c>
      <c r="G319" t="s">
        <v>644</v>
      </c>
    </row>
    <row r="320" spans="1:7" x14ac:dyDescent="0.35">
      <c r="A320" s="1">
        <v>42681</v>
      </c>
      <c r="B320" t="s">
        <v>621</v>
      </c>
      <c r="C320" t="s">
        <v>268</v>
      </c>
      <c r="D320" s="3" t="s">
        <v>536</v>
      </c>
      <c r="E320" s="3" t="s">
        <v>824</v>
      </c>
      <c r="F320" s="2">
        <v>5000</v>
      </c>
      <c r="G320" t="s">
        <v>644</v>
      </c>
    </row>
    <row r="321" spans="1:7" x14ac:dyDescent="0.35">
      <c r="A321" s="1">
        <v>42681</v>
      </c>
      <c r="B321" t="s">
        <v>558</v>
      </c>
      <c r="C321" t="s">
        <v>6</v>
      </c>
      <c r="D321" s="3" t="s">
        <v>537</v>
      </c>
      <c r="E321" s="3" t="s">
        <v>718</v>
      </c>
      <c r="F321" s="2">
        <v>12000</v>
      </c>
      <c r="G321" t="s">
        <v>644</v>
      </c>
    </row>
    <row r="322" spans="1:7" x14ac:dyDescent="0.35">
      <c r="A322" s="1">
        <v>42681</v>
      </c>
      <c r="B322" t="s">
        <v>599</v>
      </c>
      <c r="C322" t="s">
        <v>81</v>
      </c>
      <c r="D322" s="3" t="s">
        <v>538</v>
      </c>
      <c r="E322" s="3" t="s">
        <v>907</v>
      </c>
      <c r="F322" s="2">
        <v>4200</v>
      </c>
      <c r="G322" t="s">
        <v>644</v>
      </c>
    </row>
    <row r="323" spans="1:7" x14ac:dyDescent="0.35">
      <c r="A323" s="1">
        <v>42705</v>
      </c>
      <c r="B323" t="s">
        <v>622</v>
      </c>
      <c r="C323" t="s">
        <v>56</v>
      </c>
      <c r="D323" s="3" t="s">
        <v>469</v>
      </c>
      <c r="E323" s="3" t="s">
        <v>877</v>
      </c>
      <c r="G323" t="s">
        <v>920</v>
      </c>
    </row>
    <row r="324" spans="1:7" x14ac:dyDescent="0.35">
      <c r="A324" s="1">
        <v>42710</v>
      </c>
      <c r="B324" t="s">
        <v>623</v>
      </c>
      <c r="C324" t="s">
        <v>66</v>
      </c>
      <c r="D324" s="3" t="s">
        <v>214</v>
      </c>
      <c r="E324" s="3" t="s">
        <v>750</v>
      </c>
      <c r="G324" t="s">
        <v>920</v>
      </c>
    </row>
    <row r="325" spans="1:7" x14ac:dyDescent="0.35">
      <c r="A325" s="1">
        <v>42712</v>
      </c>
      <c r="B325" t="s">
        <v>594</v>
      </c>
      <c r="C325" t="s">
        <v>12</v>
      </c>
      <c r="D325" s="3" t="s">
        <v>393</v>
      </c>
      <c r="E325" s="3" t="s">
        <v>831</v>
      </c>
      <c r="G325" t="s">
        <v>920</v>
      </c>
    </row>
    <row r="326" spans="1:7" x14ac:dyDescent="0.35">
      <c r="A326" s="1">
        <v>42713</v>
      </c>
      <c r="B326" t="s">
        <v>624</v>
      </c>
      <c r="C326" t="s">
        <v>156</v>
      </c>
      <c r="D326" s="3" t="s">
        <v>539</v>
      </c>
      <c r="E326" s="3" t="s">
        <v>908</v>
      </c>
      <c r="G326" t="s">
        <v>920</v>
      </c>
    </row>
    <row r="327" spans="1:7" x14ac:dyDescent="0.35">
      <c r="A327" s="1">
        <v>42713</v>
      </c>
      <c r="B327" t="s">
        <v>599</v>
      </c>
      <c r="C327" t="s">
        <v>81</v>
      </c>
      <c r="D327" s="3" t="s">
        <v>82</v>
      </c>
      <c r="E327" s="3" t="s">
        <v>674</v>
      </c>
      <c r="G327" t="s">
        <v>920</v>
      </c>
    </row>
    <row r="328" spans="1:7" x14ac:dyDescent="0.35">
      <c r="A328" s="1">
        <v>42717</v>
      </c>
      <c r="B328" t="s">
        <v>625</v>
      </c>
      <c r="C328" t="s">
        <v>239</v>
      </c>
      <c r="D328" s="3" t="s">
        <v>540</v>
      </c>
      <c r="E328" s="3" t="s">
        <v>909</v>
      </c>
      <c r="G328" t="s">
        <v>920</v>
      </c>
    </row>
    <row r="329" spans="1:7" x14ac:dyDescent="0.35">
      <c r="A329" s="1">
        <v>42719</v>
      </c>
      <c r="B329" t="s">
        <v>626</v>
      </c>
      <c r="C329" t="s">
        <v>268</v>
      </c>
      <c r="D329" s="3" t="s">
        <v>521</v>
      </c>
      <c r="E329" s="3" t="s">
        <v>900</v>
      </c>
      <c r="G329" t="s">
        <v>920</v>
      </c>
    </row>
    <row r="330" spans="1:7" x14ac:dyDescent="0.35">
      <c r="A330" s="1">
        <v>42720</v>
      </c>
      <c r="B330" t="s">
        <v>627</v>
      </c>
      <c r="C330" t="s">
        <v>36</v>
      </c>
      <c r="D330" s="3" t="s">
        <v>541</v>
      </c>
      <c r="E330" s="3" t="s">
        <v>896</v>
      </c>
      <c r="G330" t="s">
        <v>920</v>
      </c>
    </row>
    <row r="331" spans="1:7" x14ac:dyDescent="0.35">
      <c r="A331" s="1">
        <v>42721</v>
      </c>
      <c r="B331" t="s">
        <v>563</v>
      </c>
      <c r="C331" t="s">
        <v>15</v>
      </c>
      <c r="D331" s="3" t="s">
        <v>16</v>
      </c>
      <c r="E331" s="3" t="s">
        <v>632</v>
      </c>
      <c r="G331" t="s">
        <v>920</v>
      </c>
    </row>
    <row r="332" spans="1:7" x14ac:dyDescent="0.35">
      <c r="A332" s="1">
        <v>42755</v>
      </c>
      <c r="B332" t="s">
        <v>916</v>
      </c>
      <c r="C332" t="s">
        <v>917</v>
      </c>
      <c r="D332" s="3" t="s">
        <v>918</v>
      </c>
      <c r="E332" s="3" t="s">
        <v>919</v>
      </c>
      <c r="F332" s="2">
        <v>160000</v>
      </c>
      <c r="G332" t="s">
        <v>645</v>
      </c>
    </row>
    <row r="333" spans="1:7" x14ac:dyDescent="0.35">
      <c r="A333" s="1">
        <v>42784</v>
      </c>
      <c r="B333" t="s">
        <v>628</v>
      </c>
      <c r="C333" t="s">
        <v>36</v>
      </c>
      <c r="D333" s="3" t="s">
        <v>451</v>
      </c>
      <c r="E333" s="3" t="s">
        <v>862</v>
      </c>
      <c r="F333" s="2">
        <v>9000</v>
      </c>
      <c r="G333" t="s">
        <v>645</v>
      </c>
    </row>
    <row r="334" spans="1:7" x14ac:dyDescent="0.35">
      <c r="A334" s="1">
        <v>42809</v>
      </c>
      <c r="B334" t="s">
        <v>629</v>
      </c>
      <c r="C334" t="s">
        <v>28</v>
      </c>
      <c r="D334" s="3" t="s">
        <v>542</v>
      </c>
      <c r="E334" s="3" t="s">
        <v>910</v>
      </c>
      <c r="F334">
        <v>6500</v>
      </c>
      <c r="G334" t="s">
        <v>645</v>
      </c>
    </row>
    <row r="335" spans="1:7" x14ac:dyDescent="0.35">
      <c r="A335" s="1">
        <v>42814</v>
      </c>
      <c r="B335" t="s">
        <v>620</v>
      </c>
      <c r="C335" t="s">
        <v>195</v>
      </c>
      <c r="D335" s="3" t="s">
        <v>543</v>
      </c>
      <c r="E335" s="3" t="s">
        <v>911</v>
      </c>
      <c r="F335" s="2">
        <v>18000</v>
      </c>
      <c r="G335" t="s">
        <v>645</v>
      </c>
    </row>
    <row r="336" spans="1:7" x14ac:dyDescent="0.35">
      <c r="A336" s="1">
        <v>42854</v>
      </c>
      <c r="B336" t="s">
        <v>556</v>
      </c>
      <c r="C336" t="s">
        <v>268</v>
      </c>
      <c r="D336" s="3" t="s">
        <v>290</v>
      </c>
      <c r="E336" s="3" t="s">
        <v>785</v>
      </c>
      <c r="G336" t="s">
        <v>645</v>
      </c>
    </row>
    <row r="337" spans="1:7" x14ac:dyDescent="0.35">
      <c r="A337" s="1">
        <v>42907</v>
      </c>
      <c r="B337" t="s">
        <v>598</v>
      </c>
      <c r="C337" t="s">
        <v>12</v>
      </c>
      <c r="D337" s="3" t="s">
        <v>974</v>
      </c>
      <c r="E337" s="3" t="s">
        <v>673</v>
      </c>
      <c r="G337" t="s">
        <v>645</v>
      </c>
    </row>
    <row r="338" spans="1:7" x14ac:dyDescent="0.35">
      <c r="A338" s="1">
        <v>42941</v>
      </c>
      <c r="B338" t="s">
        <v>975</v>
      </c>
      <c r="C338" t="s">
        <v>56</v>
      </c>
      <c r="D338" s="3" t="s">
        <v>976</v>
      </c>
      <c r="E338" s="3" t="s">
        <v>977</v>
      </c>
      <c r="F338">
        <v>7000</v>
      </c>
      <c r="G338" t="s">
        <v>645</v>
      </c>
    </row>
    <row r="339" spans="1:7" x14ac:dyDescent="0.35">
      <c r="A339" s="1">
        <v>42950</v>
      </c>
      <c r="B339" t="s">
        <v>978</v>
      </c>
      <c r="C339" t="s">
        <v>322</v>
      </c>
      <c r="D339" s="3" t="s">
        <v>979</v>
      </c>
      <c r="E339" s="3" t="s">
        <v>980</v>
      </c>
      <c r="F339" s="2">
        <v>9000</v>
      </c>
      <c r="G339" t="s">
        <v>645</v>
      </c>
    </row>
    <row r="340" spans="1:7" x14ac:dyDescent="0.35">
      <c r="A340" s="1">
        <v>42969</v>
      </c>
      <c r="B340" t="s">
        <v>559</v>
      </c>
      <c r="C340" t="s">
        <v>8</v>
      </c>
      <c r="D340" s="3" t="s">
        <v>9</v>
      </c>
      <c r="E340" s="3">
        <v>85004</v>
      </c>
      <c r="G340" t="s">
        <v>645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6"/>
  <sheetViews>
    <sheetView topLeftCell="A688" zoomScaleNormal="100" workbookViewId="0">
      <selection activeCell="A736" sqref="A684:C736"/>
    </sheetView>
  </sheetViews>
  <sheetFormatPr defaultRowHeight="14.5" x14ac:dyDescent="0.35"/>
  <cols>
    <col min="1" max="1" width="13.7265625" customWidth="1"/>
    <col min="3" max="3" width="9.08984375" style="4"/>
  </cols>
  <sheetData>
    <row r="1" spans="1:3" x14ac:dyDescent="0.35">
      <c r="A1" s="1" t="s">
        <v>0</v>
      </c>
      <c r="B1" t="s">
        <v>914</v>
      </c>
      <c r="C1" s="4" t="s">
        <v>915</v>
      </c>
    </row>
    <row r="2" spans="1:3" x14ac:dyDescent="0.35">
      <c r="A2" s="1">
        <v>42170</v>
      </c>
      <c r="B2">
        <f>COUNTIF(Overall!A:A, "2015-06-15")</f>
        <v>1</v>
      </c>
    </row>
    <row r="3" spans="1:3" x14ac:dyDescent="0.35">
      <c r="A3" s="1">
        <v>42171</v>
      </c>
      <c r="B3">
        <v>0</v>
      </c>
    </row>
    <row r="4" spans="1:3" x14ac:dyDescent="0.35">
      <c r="A4" s="1">
        <v>42172</v>
      </c>
      <c r="B4">
        <v>0</v>
      </c>
    </row>
    <row r="5" spans="1:3" x14ac:dyDescent="0.35">
      <c r="A5" s="1">
        <v>42173</v>
      </c>
      <c r="B5">
        <v>0</v>
      </c>
    </row>
    <row r="6" spans="1:3" x14ac:dyDescent="0.35">
      <c r="A6" s="1">
        <v>42174</v>
      </c>
      <c r="B6">
        <v>0</v>
      </c>
    </row>
    <row r="7" spans="1:3" x14ac:dyDescent="0.35">
      <c r="A7" s="1">
        <v>42175</v>
      </c>
      <c r="B7">
        <v>0</v>
      </c>
    </row>
    <row r="8" spans="1:3" x14ac:dyDescent="0.35">
      <c r="A8" s="1">
        <v>42176</v>
      </c>
      <c r="B8">
        <v>0</v>
      </c>
      <c r="C8" s="4">
        <f t="shared" ref="C8:C71" si="0">AVERAGE(B2:B8)</f>
        <v>0.14285714285714285</v>
      </c>
    </row>
    <row r="9" spans="1:3" x14ac:dyDescent="0.35">
      <c r="A9" s="1">
        <v>42177</v>
      </c>
      <c r="B9">
        <v>0</v>
      </c>
      <c r="C9" s="4">
        <f t="shared" si="0"/>
        <v>0</v>
      </c>
    </row>
    <row r="10" spans="1:3" x14ac:dyDescent="0.35">
      <c r="A10" s="1">
        <v>42178</v>
      </c>
      <c r="B10">
        <v>0</v>
      </c>
      <c r="C10" s="4">
        <f t="shared" si="0"/>
        <v>0</v>
      </c>
    </row>
    <row r="11" spans="1:3" x14ac:dyDescent="0.35">
      <c r="A11" s="1">
        <v>42179</v>
      </c>
      <c r="B11">
        <v>0</v>
      </c>
      <c r="C11" s="4">
        <f t="shared" si="0"/>
        <v>0</v>
      </c>
    </row>
    <row r="12" spans="1:3" x14ac:dyDescent="0.35">
      <c r="A12" s="1">
        <v>42180</v>
      </c>
      <c r="B12">
        <v>0</v>
      </c>
      <c r="C12" s="4">
        <f t="shared" si="0"/>
        <v>0</v>
      </c>
    </row>
    <row r="13" spans="1:3" x14ac:dyDescent="0.35">
      <c r="A13" s="1">
        <v>42181</v>
      </c>
      <c r="B13">
        <v>0</v>
      </c>
      <c r="C13" s="4">
        <f t="shared" si="0"/>
        <v>0</v>
      </c>
    </row>
    <row r="14" spans="1:3" x14ac:dyDescent="0.35">
      <c r="A14" s="1">
        <v>42182</v>
      </c>
      <c r="B14">
        <v>0</v>
      </c>
      <c r="C14" s="4">
        <f t="shared" si="0"/>
        <v>0</v>
      </c>
    </row>
    <row r="15" spans="1:3" x14ac:dyDescent="0.35">
      <c r="A15" s="1">
        <v>42183</v>
      </c>
      <c r="B15">
        <v>0</v>
      </c>
      <c r="C15" s="4">
        <f t="shared" si="0"/>
        <v>0</v>
      </c>
    </row>
    <row r="16" spans="1:3" x14ac:dyDescent="0.35">
      <c r="A16" s="1">
        <v>42184</v>
      </c>
      <c r="B16">
        <v>0</v>
      </c>
      <c r="C16" s="4">
        <f t="shared" si="0"/>
        <v>0</v>
      </c>
    </row>
    <row r="17" spans="1:3" x14ac:dyDescent="0.35">
      <c r="A17" s="1">
        <v>42185</v>
      </c>
      <c r="B17">
        <v>0</v>
      </c>
      <c r="C17" s="4">
        <f t="shared" si="0"/>
        <v>0</v>
      </c>
    </row>
    <row r="18" spans="1:3" x14ac:dyDescent="0.35">
      <c r="A18" s="1">
        <v>42186</v>
      </c>
      <c r="B18">
        <v>0</v>
      </c>
      <c r="C18" s="4">
        <f t="shared" si="0"/>
        <v>0</v>
      </c>
    </row>
    <row r="19" spans="1:3" x14ac:dyDescent="0.35">
      <c r="A19" s="1">
        <v>42187</v>
      </c>
      <c r="B19">
        <v>0</v>
      </c>
      <c r="C19" s="4">
        <f t="shared" si="0"/>
        <v>0</v>
      </c>
    </row>
    <row r="20" spans="1:3" x14ac:dyDescent="0.35">
      <c r="A20" s="1">
        <v>42188</v>
      </c>
      <c r="B20">
        <v>0</v>
      </c>
      <c r="C20" s="4">
        <f t="shared" si="0"/>
        <v>0</v>
      </c>
    </row>
    <row r="21" spans="1:3" x14ac:dyDescent="0.35">
      <c r="A21" s="1">
        <v>42189</v>
      </c>
      <c r="B21">
        <v>0</v>
      </c>
      <c r="C21" s="4">
        <f t="shared" si="0"/>
        <v>0</v>
      </c>
    </row>
    <row r="22" spans="1:3" x14ac:dyDescent="0.35">
      <c r="A22" s="1">
        <v>42190</v>
      </c>
      <c r="B22">
        <v>0</v>
      </c>
      <c r="C22" s="4">
        <f t="shared" si="0"/>
        <v>0</v>
      </c>
    </row>
    <row r="23" spans="1:3" x14ac:dyDescent="0.35">
      <c r="A23" s="1">
        <v>42191</v>
      </c>
      <c r="B23">
        <v>0</v>
      </c>
      <c r="C23" s="4">
        <f t="shared" si="0"/>
        <v>0</v>
      </c>
    </row>
    <row r="24" spans="1:3" x14ac:dyDescent="0.35">
      <c r="A24" s="1">
        <v>42192</v>
      </c>
      <c r="B24">
        <v>0</v>
      </c>
      <c r="C24" s="4">
        <f t="shared" si="0"/>
        <v>0</v>
      </c>
    </row>
    <row r="25" spans="1:3" x14ac:dyDescent="0.35">
      <c r="A25" s="1">
        <v>42193</v>
      </c>
      <c r="B25">
        <v>0</v>
      </c>
      <c r="C25" s="4">
        <f t="shared" si="0"/>
        <v>0</v>
      </c>
    </row>
    <row r="26" spans="1:3" x14ac:dyDescent="0.35">
      <c r="A26" s="1">
        <v>42194</v>
      </c>
      <c r="B26">
        <v>0</v>
      </c>
      <c r="C26" s="4">
        <f t="shared" si="0"/>
        <v>0</v>
      </c>
    </row>
    <row r="27" spans="1:3" x14ac:dyDescent="0.35">
      <c r="A27" s="1">
        <v>42195</v>
      </c>
      <c r="B27">
        <v>0</v>
      </c>
      <c r="C27" s="4">
        <f t="shared" si="0"/>
        <v>0</v>
      </c>
    </row>
    <row r="28" spans="1:3" x14ac:dyDescent="0.35">
      <c r="A28" s="1">
        <v>42196</v>
      </c>
      <c r="B28">
        <f>COUNTIF(Overall!A:A, "2015-07-11")</f>
        <v>2</v>
      </c>
      <c r="C28" s="4">
        <f t="shared" si="0"/>
        <v>0.2857142857142857</v>
      </c>
    </row>
    <row r="29" spans="1:3" x14ac:dyDescent="0.35">
      <c r="A29" s="1">
        <v>42197</v>
      </c>
      <c r="B29">
        <v>0</v>
      </c>
      <c r="C29" s="4">
        <f t="shared" si="0"/>
        <v>0.2857142857142857</v>
      </c>
    </row>
    <row r="30" spans="1:3" x14ac:dyDescent="0.35">
      <c r="A30" s="1">
        <v>42198</v>
      </c>
      <c r="B30">
        <v>0</v>
      </c>
      <c r="C30" s="4">
        <f t="shared" si="0"/>
        <v>0.2857142857142857</v>
      </c>
    </row>
    <row r="31" spans="1:3" x14ac:dyDescent="0.35">
      <c r="A31" s="1">
        <v>42199</v>
      </c>
      <c r="B31">
        <v>0</v>
      </c>
      <c r="C31" s="4">
        <f t="shared" si="0"/>
        <v>0.2857142857142857</v>
      </c>
    </row>
    <row r="32" spans="1:3" x14ac:dyDescent="0.35">
      <c r="A32" s="1">
        <v>42200</v>
      </c>
      <c r="B32">
        <v>0</v>
      </c>
      <c r="C32" s="4">
        <f t="shared" si="0"/>
        <v>0.2857142857142857</v>
      </c>
    </row>
    <row r="33" spans="1:3" x14ac:dyDescent="0.35">
      <c r="A33" s="1">
        <v>42201</v>
      </c>
      <c r="B33">
        <v>0</v>
      </c>
      <c r="C33" s="4">
        <f t="shared" si="0"/>
        <v>0.2857142857142857</v>
      </c>
    </row>
    <row r="34" spans="1:3" x14ac:dyDescent="0.35">
      <c r="A34" s="1">
        <v>42202</v>
      </c>
      <c r="B34">
        <v>0</v>
      </c>
      <c r="C34" s="4">
        <f t="shared" si="0"/>
        <v>0.2857142857142857</v>
      </c>
    </row>
    <row r="35" spans="1:3" x14ac:dyDescent="0.35">
      <c r="A35" s="1">
        <v>42203</v>
      </c>
      <c r="B35">
        <v>0</v>
      </c>
      <c r="C35" s="4">
        <f t="shared" si="0"/>
        <v>0</v>
      </c>
    </row>
    <row r="36" spans="1:3" x14ac:dyDescent="0.35">
      <c r="A36" s="1">
        <v>42204</v>
      </c>
      <c r="B36">
        <v>0</v>
      </c>
      <c r="C36" s="4">
        <f t="shared" si="0"/>
        <v>0</v>
      </c>
    </row>
    <row r="37" spans="1:3" x14ac:dyDescent="0.35">
      <c r="A37" s="1">
        <v>42205</v>
      </c>
      <c r="B37">
        <v>0</v>
      </c>
      <c r="C37" s="4">
        <f t="shared" si="0"/>
        <v>0</v>
      </c>
    </row>
    <row r="38" spans="1:3" x14ac:dyDescent="0.35">
      <c r="A38" s="1">
        <v>42206</v>
      </c>
      <c r="B38">
        <f>COUNTIF(Overall!A:A, "2015-07-21")</f>
        <v>1</v>
      </c>
      <c r="C38" s="4">
        <f t="shared" si="0"/>
        <v>0.14285714285714285</v>
      </c>
    </row>
    <row r="39" spans="1:3" x14ac:dyDescent="0.35">
      <c r="A39" s="1">
        <v>42207</v>
      </c>
      <c r="B39">
        <v>0</v>
      </c>
      <c r="C39" s="4">
        <f t="shared" si="0"/>
        <v>0.14285714285714285</v>
      </c>
    </row>
    <row r="40" spans="1:3" x14ac:dyDescent="0.35">
      <c r="A40" s="1">
        <v>42208</v>
      </c>
      <c r="B40">
        <v>0</v>
      </c>
      <c r="C40" s="4">
        <f t="shared" si="0"/>
        <v>0.14285714285714285</v>
      </c>
    </row>
    <row r="41" spans="1:3" x14ac:dyDescent="0.35">
      <c r="A41" s="1">
        <v>42209</v>
      </c>
      <c r="B41">
        <v>0</v>
      </c>
      <c r="C41" s="4">
        <f t="shared" si="0"/>
        <v>0.14285714285714285</v>
      </c>
    </row>
    <row r="42" spans="1:3" x14ac:dyDescent="0.35">
      <c r="A42" s="1">
        <v>42210</v>
      </c>
      <c r="B42">
        <f>COUNTIF(Overall!A:A, "2015-07-25")</f>
        <v>1</v>
      </c>
      <c r="C42" s="4">
        <f t="shared" si="0"/>
        <v>0.2857142857142857</v>
      </c>
    </row>
    <row r="43" spans="1:3" x14ac:dyDescent="0.35">
      <c r="A43" s="1">
        <v>42211</v>
      </c>
      <c r="B43">
        <v>0</v>
      </c>
      <c r="C43" s="4">
        <f t="shared" si="0"/>
        <v>0.2857142857142857</v>
      </c>
    </row>
    <row r="44" spans="1:3" x14ac:dyDescent="0.35">
      <c r="A44" s="1">
        <v>42212</v>
      </c>
      <c r="B44">
        <v>0</v>
      </c>
      <c r="C44" s="4">
        <f t="shared" si="0"/>
        <v>0.2857142857142857</v>
      </c>
    </row>
    <row r="45" spans="1:3" x14ac:dyDescent="0.35">
      <c r="A45" s="1">
        <v>42213</v>
      </c>
      <c r="B45">
        <v>0</v>
      </c>
      <c r="C45" s="4">
        <f t="shared" si="0"/>
        <v>0.14285714285714285</v>
      </c>
    </row>
    <row r="46" spans="1:3" x14ac:dyDescent="0.35">
      <c r="A46" s="1">
        <v>42214</v>
      </c>
      <c r="B46">
        <v>0</v>
      </c>
      <c r="C46" s="4">
        <f t="shared" si="0"/>
        <v>0.14285714285714285</v>
      </c>
    </row>
    <row r="47" spans="1:3" x14ac:dyDescent="0.35">
      <c r="A47" s="1">
        <v>42215</v>
      </c>
      <c r="B47">
        <v>0</v>
      </c>
      <c r="C47" s="4">
        <f t="shared" si="0"/>
        <v>0.14285714285714285</v>
      </c>
    </row>
    <row r="48" spans="1:3" x14ac:dyDescent="0.35">
      <c r="A48" s="1">
        <v>42216</v>
      </c>
      <c r="B48">
        <v>0</v>
      </c>
      <c r="C48" s="4">
        <f t="shared" si="0"/>
        <v>0.14285714285714285</v>
      </c>
    </row>
    <row r="49" spans="1:3" x14ac:dyDescent="0.35">
      <c r="A49" s="1">
        <v>42217</v>
      </c>
      <c r="B49">
        <v>0</v>
      </c>
      <c r="C49" s="4">
        <f t="shared" si="0"/>
        <v>0</v>
      </c>
    </row>
    <row r="50" spans="1:3" x14ac:dyDescent="0.35">
      <c r="A50" s="1">
        <v>42218</v>
      </c>
      <c r="B50">
        <v>0</v>
      </c>
      <c r="C50" s="4">
        <f t="shared" si="0"/>
        <v>0</v>
      </c>
    </row>
    <row r="51" spans="1:3" x14ac:dyDescent="0.35">
      <c r="A51" s="1">
        <v>42219</v>
      </c>
      <c r="B51">
        <v>0</v>
      </c>
      <c r="C51" s="4">
        <f t="shared" si="0"/>
        <v>0</v>
      </c>
    </row>
    <row r="52" spans="1:3" x14ac:dyDescent="0.35">
      <c r="A52" s="1">
        <v>42220</v>
      </c>
      <c r="B52">
        <v>0</v>
      </c>
      <c r="C52" s="4">
        <f t="shared" si="0"/>
        <v>0</v>
      </c>
    </row>
    <row r="53" spans="1:3" x14ac:dyDescent="0.35">
      <c r="A53" s="1">
        <v>42221</v>
      </c>
      <c r="B53">
        <v>0</v>
      </c>
      <c r="C53" s="4">
        <f t="shared" si="0"/>
        <v>0</v>
      </c>
    </row>
    <row r="54" spans="1:3" x14ac:dyDescent="0.35">
      <c r="A54" s="1">
        <v>42222</v>
      </c>
      <c r="B54">
        <v>0</v>
      </c>
      <c r="C54" s="4">
        <f t="shared" si="0"/>
        <v>0</v>
      </c>
    </row>
    <row r="55" spans="1:3" x14ac:dyDescent="0.35">
      <c r="A55" s="1">
        <v>42223</v>
      </c>
      <c r="B55">
        <v>0</v>
      </c>
      <c r="C55" s="4">
        <f t="shared" si="0"/>
        <v>0</v>
      </c>
    </row>
    <row r="56" spans="1:3" x14ac:dyDescent="0.35">
      <c r="A56" s="1">
        <v>42224</v>
      </c>
      <c r="B56">
        <v>0</v>
      </c>
      <c r="C56" s="4">
        <f t="shared" si="0"/>
        <v>0</v>
      </c>
    </row>
    <row r="57" spans="1:3" x14ac:dyDescent="0.35">
      <c r="A57" s="1">
        <v>42225</v>
      </c>
      <c r="B57">
        <v>0</v>
      </c>
      <c r="C57" s="4">
        <f t="shared" si="0"/>
        <v>0</v>
      </c>
    </row>
    <row r="58" spans="1:3" x14ac:dyDescent="0.35">
      <c r="A58" s="1">
        <v>42226</v>
      </c>
      <c r="B58">
        <v>0</v>
      </c>
      <c r="C58" s="4">
        <f t="shared" si="0"/>
        <v>0</v>
      </c>
    </row>
    <row r="59" spans="1:3" x14ac:dyDescent="0.35">
      <c r="A59" s="1">
        <v>42227</v>
      </c>
      <c r="B59">
        <v>0</v>
      </c>
      <c r="C59" s="4">
        <f t="shared" si="0"/>
        <v>0</v>
      </c>
    </row>
    <row r="60" spans="1:3" x14ac:dyDescent="0.35">
      <c r="A60" s="1">
        <v>42228</v>
      </c>
      <c r="B60">
        <v>0</v>
      </c>
      <c r="C60" s="4">
        <f t="shared" si="0"/>
        <v>0</v>
      </c>
    </row>
    <row r="61" spans="1:3" x14ac:dyDescent="0.35">
      <c r="A61" s="1">
        <v>42229</v>
      </c>
      <c r="B61">
        <v>0</v>
      </c>
      <c r="C61" s="4">
        <f t="shared" si="0"/>
        <v>0</v>
      </c>
    </row>
    <row r="62" spans="1:3" x14ac:dyDescent="0.35">
      <c r="A62" s="1">
        <v>42230</v>
      </c>
      <c r="B62">
        <f>COUNTIF(Overall!A:A, "2015-08-14")</f>
        <v>1</v>
      </c>
      <c r="C62" s="4">
        <f t="shared" si="0"/>
        <v>0.14285714285714285</v>
      </c>
    </row>
    <row r="63" spans="1:3" x14ac:dyDescent="0.35">
      <c r="A63" s="1">
        <v>42231</v>
      </c>
      <c r="B63">
        <v>0</v>
      </c>
      <c r="C63" s="4">
        <f t="shared" si="0"/>
        <v>0.14285714285714285</v>
      </c>
    </row>
    <row r="64" spans="1:3" x14ac:dyDescent="0.35">
      <c r="A64" s="1">
        <v>42232</v>
      </c>
      <c r="B64">
        <v>0</v>
      </c>
      <c r="C64" s="4">
        <f t="shared" si="0"/>
        <v>0.14285714285714285</v>
      </c>
    </row>
    <row r="65" spans="1:3" x14ac:dyDescent="0.35">
      <c r="A65" s="1">
        <v>42233</v>
      </c>
      <c r="B65">
        <v>0</v>
      </c>
      <c r="C65" s="4">
        <f t="shared" si="0"/>
        <v>0.14285714285714285</v>
      </c>
    </row>
    <row r="66" spans="1:3" x14ac:dyDescent="0.35">
      <c r="A66" s="1">
        <v>42234</v>
      </c>
      <c r="B66">
        <v>0</v>
      </c>
      <c r="C66" s="4">
        <f t="shared" si="0"/>
        <v>0.14285714285714285</v>
      </c>
    </row>
    <row r="67" spans="1:3" x14ac:dyDescent="0.35">
      <c r="A67" s="1">
        <v>42235</v>
      </c>
      <c r="B67">
        <v>0</v>
      </c>
      <c r="C67" s="4">
        <f t="shared" si="0"/>
        <v>0.14285714285714285</v>
      </c>
    </row>
    <row r="68" spans="1:3" x14ac:dyDescent="0.35">
      <c r="A68" s="1">
        <v>42236</v>
      </c>
      <c r="B68">
        <v>0</v>
      </c>
      <c r="C68" s="4">
        <f t="shared" si="0"/>
        <v>0.14285714285714285</v>
      </c>
    </row>
    <row r="69" spans="1:3" x14ac:dyDescent="0.35">
      <c r="A69" s="1">
        <v>42237</v>
      </c>
      <c r="B69">
        <f>COUNTIF(Overall!A:A, "2015-08-21")</f>
        <v>1</v>
      </c>
      <c r="C69" s="4">
        <f t="shared" si="0"/>
        <v>0.14285714285714285</v>
      </c>
    </row>
    <row r="70" spans="1:3" x14ac:dyDescent="0.35">
      <c r="A70" s="1">
        <v>42241</v>
      </c>
      <c r="B70">
        <f>COUNTIF(Overall!A:A, "2015-08-25")</f>
        <v>1</v>
      </c>
      <c r="C70" s="4">
        <f t="shared" si="0"/>
        <v>0.2857142857142857</v>
      </c>
    </row>
    <row r="71" spans="1:3" x14ac:dyDescent="0.35">
      <c r="A71" s="1">
        <v>42242</v>
      </c>
      <c r="B71">
        <v>0</v>
      </c>
      <c r="C71" s="4">
        <f t="shared" si="0"/>
        <v>0.2857142857142857</v>
      </c>
    </row>
    <row r="72" spans="1:3" x14ac:dyDescent="0.35">
      <c r="A72" s="1">
        <v>42243</v>
      </c>
      <c r="B72">
        <f>COUNTIF(Overall!A:A, "2015-08-27")</f>
        <v>1</v>
      </c>
      <c r="C72" s="4">
        <f t="shared" ref="C72:C135" si="1">AVERAGE(B66:B72)</f>
        <v>0.42857142857142855</v>
      </c>
    </row>
    <row r="73" spans="1:3" x14ac:dyDescent="0.35">
      <c r="A73" s="1">
        <v>42244</v>
      </c>
      <c r="B73">
        <v>0</v>
      </c>
      <c r="C73" s="4">
        <f t="shared" si="1"/>
        <v>0.42857142857142855</v>
      </c>
    </row>
    <row r="74" spans="1:3" x14ac:dyDescent="0.35">
      <c r="A74" s="1">
        <v>42245</v>
      </c>
      <c r="B74">
        <v>0</v>
      </c>
      <c r="C74" s="4">
        <f t="shared" si="1"/>
        <v>0.42857142857142855</v>
      </c>
    </row>
    <row r="75" spans="1:3" x14ac:dyDescent="0.35">
      <c r="A75" s="1">
        <v>42246</v>
      </c>
      <c r="B75">
        <v>0</v>
      </c>
      <c r="C75" s="4">
        <f t="shared" si="1"/>
        <v>0.42857142857142855</v>
      </c>
    </row>
    <row r="76" spans="1:3" x14ac:dyDescent="0.35">
      <c r="A76" s="1">
        <v>42247</v>
      </c>
      <c r="B76">
        <v>0</v>
      </c>
      <c r="C76" s="4">
        <f t="shared" si="1"/>
        <v>0.2857142857142857</v>
      </c>
    </row>
    <row r="77" spans="1:3" x14ac:dyDescent="0.35">
      <c r="A77" s="1">
        <v>42248</v>
      </c>
      <c r="B77">
        <v>0</v>
      </c>
      <c r="C77" s="4">
        <f t="shared" si="1"/>
        <v>0.14285714285714285</v>
      </c>
    </row>
    <row r="78" spans="1:3" x14ac:dyDescent="0.35">
      <c r="A78" s="1">
        <v>42249</v>
      </c>
      <c r="B78">
        <v>0</v>
      </c>
      <c r="C78" s="4">
        <f t="shared" si="1"/>
        <v>0.14285714285714285</v>
      </c>
    </row>
    <row r="79" spans="1:3" x14ac:dyDescent="0.35">
      <c r="A79" s="1">
        <v>42250</v>
      </c>
      <c r="B79">
        <v>0</v>
      </c>
      <c r="C79" s="4">
        <f t="shared" si="1"/>
        <v>0</v>
      </c>
    </row>
    <row r="80" spans="1:3" x14ac:dyDescent="0.35">
      <c r="A80" s="1">
        <v>42251</v>
      </c>
      <c r="B80">
        <v>0</v>
      </c>
      <c r="C80" s="4">
        <f t="shared" si="1"/>
        <v>0</v>
      </c>
    </row>
    <row r="81" spans="1:3" x14ac:dyDescent="0.35">
      <c r="A81" s="1">
        <v>42252</v>
      </c>
      <c r="B81">
        <v>0</v>
      </c>
      <c r="C81" s="4">
        <f t="shared" si="1"/>
        <v>0</v>
      </c>
    </row>
    <row r="82" spans="1:3" x14ac:dyDescent="0.35">
      <c r="A82" s="1">
        <v>42253</v>
      </c>
      <c r="B82">
        <v>0</v>
      </c>
      <c r="C82" s="4">
        <f t="shared" si="1"/>
        <v>0</v>
      </c>
    </row>
    <row r="83" spans="1:3" x14ac:dyDescent="0.35">
      <c r="A83" s="1">
        <v>42254</v>
      </c>
      <c r="B83">
        <v>0</v>
      </c>
      <c r="C83" s="4">
        <f t="shared" si="1"/>
        <v>0</v>
      </c>
    </row>
    <row r="84" spans="1:3" x14ac:dyDescent="0.35">
      <c r="A84" s="1">
        <v>42255</v>
      </c>
      <c r="B84">
        <v>0</v>
      </c>
      <c r="C84" s="4">
        <f t="shared" si="1"/>
        <v>0</v>
      </c>
    </row>
    <row r="85" spans="1:3" x14ac:dyDescent="0.35">
      <c r="A85" s="1">
        <v>42256</v>
      </c>
      <c r="B85">
        <v>0</v>
      </c>
      <c r="C85" s="4">
        <f t="shared" si="1"/>
        <v>0</v>
      </c>
    </row>
    <row r="86" spans="1:3" x14ac:dyDescent="0.35">
      <c r="A86" s="1">
        <v>42257</v>
      </c>
      <c r="B86">
        <v>0</v>
      </c>
      <c r="C86" s="4">
        <f t="shared" si="1"/>
        <v>0</v>
      </c>
    </row>
    <row r="87" spans="1:3" x14ac:dyDescent="0.35">
      <c r="A87" s="1">
        <v>42258</v>
      </c>
      <c r="B87">
        <v>0</v>
      </c>
      <c r="C87" s="4">
        <f t="shared" si="1"/>
        <v>0</v>
      </c>
    </row>
    <row r="88" spans="1:3" x14ac:dyDescent="0.35">
      <c r="A88" s="1">
        <v>42259</v>
      </c>
      <c r="B88">
        <v>0</v>
      </c>
      <c r="C88" s="4">
        <f t="shared" si="1"/>
        <v>0</v>
      </c>
    </row>
    <row r="89" spans="1:3" x14ac:dyDescent="0.35">
      <c r="A89" s="1">
        <v>42260</v>
      </c>
      <c r="B89">
        <v>0</v>
      </c>
      <c r="C89" s="4">
        <f t="shared" si="1"/>
        <v>0</v>
      </c>
    </row>
    <row r="90" spans="1:3" x14ac:dyDescent="0.35">
      <c r="A90" s="1">
        <v>42261</v>
      </c>
      <c r="B90">
        <f>COUNTIF(Overall!A:A, "2015-09-14")</f>
        <v>1</v>
      </c>
      <c r="C90" s="4">
        <f t="shared" si="1"/>
        <v>0.14285714285714285</v>
      </c>
    </row>
    <row r="91" spans="1:3" x14ac:dyDescent="0.35">
      <c r="A91" s="1">
        <v>42262</v>
      </c>
      <c r="B91">
        <v>0</v>
      </c>
      <c r="C91" s="4">
        <f t="shared" si="1"/>
        <v>0.14285714285714285</v>
      </c>
    </row>
    <row r="92" spans="1:3" x14ac:dyDescent="0.35">
      <c r="A92" s="1">
        <v>42263</v>
      </c>
      <c r="B92">
        <v>0</v>
      </c>
      <c r="C92" s="4">
        <f t="shared" si="1"/>
        <v>0.14285714285714285</v>
      </c>
    </row>
    <row r="93" spans="1:3" x14ac:dyDescent="0.35">
      <c r="A93" s="1">
        <v>42264</v>
      </c>
      <c r="B93">
        <v>0</v>
      </c>
      <c r="C93" s="4">
        <f t="shared" si="1"/>
        <v>0.14285714285714285</v>
      </c>
    </row>
    <row r="94" spans="1:3" x14ac:dyDescent="0.35">
      <c r="A94" s="1">
        <v>42265</v>
      </c>
      <c r="B94">
        <v>0</v>
      </c>
      <c r="C94" s="4">
        <f t="shared" si="1"/>
        <v>0.14285714285714285</v>
      </c>
    </row>
    <row r="95" spans="1:3" x14ac:dyDescent="0.35">
      <c r="A95" s="1">
        <v>42266</v>
      </c>
      <c r="B95">
        <v>0</v>
      </c>
      <c r="C95" s="4">
        <f t="shared" si="1"/>
        <v>0.14285714285714285</v>
      </c>
    </row>
    <row r="96" spans="1:3" x14ac:dyDescent="0.35">
      <c r="A96" s="1">
        <v>42267</v>
      </c>
      <c r="B96">
        <v>0</v>
      </c>
      <c r="C96" s="4">
        <f t="shared" si="1"/>
        <v>0.14285714285714285</v>
      </c>
    </row>
    <row r="97" spans="1:3" x14ac:dyDescent="0.35">
      <c r="A97" s="1">
        <v>42268</v>
      </c>
      <c r="B97">
        <v>0</v>
      </c>
      <c r="C97" s="4">
        <f t="shared" si="1"/>
        <v>0</v>
      </c>
    </row>
    <row r="98" spans="1:3" x14ac:dyDescent="0.35">
      <c r="A98" s="1">
        <v>42269</v>
      </c>
      <c r="B98">
        <v>0</v>
      </c>
      <c r="C98" s="4">
        <f t="shared" si="1"/>
        <v>0</v>
      </c>
    </row>
    <row r="99" spans="1:3" x14ac:dyDescent="0.35">
      <c r="A99" s="1">
        <v>42270</v>
      </c>
      <c r="B99">
        <v>0</v>
      </c>
      <c r="C99" s="4">
        <f t="shared" si="1"/>
        <v>0</v>
      </c>
    </row>
    <row r="100" spans="1:3" x14ac:dyDescent="0.35">
      <c r="A100" s="1">
        <v>42271</v>
      </c>
      <c r="B100">
        <v>0</v>
      </c>
      <c r="C100" s="4">
        <f t="shared" si="1"/>
        <v>0</v>
      </c>
    </row>
    <row r="101" spans="1:3" x14ac:dyDescent="0.35">
      <c r="A101" s="1">
        <v>42272</v>
      </c>
      <c r="B101">
        <f>COUNTIF(Overall!A:A, "2015-09-25")</f>
        <v>1</v>
      </c>
      <c r="C101" s="4">
        <f t="shared" si="1"/>
        <v>0.14285714285714285</v>
      </c>
    </row>
    <row r="102" spans="1:3" x14ac:dyDescent="0.35">
      <c r="A102" s="1">
        <v>42273</v>
      </c>
      <c r="B102">
        <v>0</v>
      </c>
      <c r="C102" s="4">
        <f t="shared" si="1"/>
        <v>0.14285714285714285</v>
      </c>
    </row>
    <row r="103" spans="1:3" x14ac:dyDescent="0.35">
      <c r="A103" s="1">
        <v>42274</v>
      </c>
      <c r="B103">
        <v>0</v>
      </c>
      <c r="C103" s="4">
        <f t="shared" si="1"/>
        <v>0.14285714285714285</v>
      </c>
    </row>
    <row r="104" spans="1:3" x14ac:dyDescent="0.35">
      <c r="A104" s="1">
        <v>42275</v>
      </c>
      <c r="B104">
        <v>0</v>
      </c>
      <c r="C104" s="4">
        <f t="shared" si="1"/>
        <v>0.14285714285714285</v>
      </c>
    </row>
    <row r="105" spans="1:3" x14ac:dyDescent="0.35">
      <c r="A105" s="1">
        <v>42276</v>
      </c>
      <c r="B105">
        <v>0</v>
      </c>
      <c r="C105" s="4">
        <f t="shared" si="1"/>
        <v>0.14285714285714285</v>
      </c>
    </row>
    <row r="106" spans="1:3" x14ac:dyDescent="0.35">
      <c r="A106" s="1">
        <v>42277</v>
      </c>
      <c r="B106">
        <f>COUNTIF(Overall!A:A, "2015-09-30")</f>
        <v>1</v>
      </c>
      <c r="C106" s="4">
        <f t="shared" si="1"/>
        <v>0.2857142857142857</v>
      </c>
    </row>
    <row r="107" spans="1:3" x14ac:dyDescent="0.35">
      <c r="A107" s="1">
        <v>42278</v>
      </c>
      <c r="B107">
        <v>0</v>
      </c>
      <c r="C107" s="4">
        <f t="shared" si="1"/>
        <v>0.2857142857142857</v>
      </c>
    </row>
    <row r="108" spans="1:3" x14ac:dyDescent="0.35">
      <c r="A108" s="1">
        <v>42279</v>
      </c>
      <c r="B108">
        <v>0</v>
      </c>
      <c r="C108" s="4">
        <f t="shared" si="1"/>
        <v>0.14285714285714285</v>
      </c>
    </row>
    <row r="109" spans="1:3" x14ac:dyDescent="0.35">
      <c r="A109" s="1">
        <v>42280</v>
      </c>
      <c r="B109">
        <f>COUNTIF(Overall!A:A, "2015-10-03")</f>
        <v>1</v>
      </c>
      <c r="C109" s="4">
        <f t="shared" si="1"/>
        <v>0.2857142857142857</v>
      </c>
    </row>
    <row r="110" spans="1:3" x14ac:dyDescent="0.35">
      <c r="A110" s="1">
        <v>42281</v>
      </c>
      <c r="B110">
        <v>0</v>
      </c>
      <c r="C110" s="4">
        <f t="shared" si="1"/>
        <v>0.2857142857142857</v>
      </c>
    </row>
    <row r="111" spans="1:3" x14ac:dyDescent="0.35">
      <c r="A111" s="1">
        <v>42282</v>
      </c>
      <c r="B111">
        <v>0</v>
      </c>
      <c r="C111" s="4">
        <f t="shared" si="1"/>
        <v>0.2857142857142857</v>
      </c>
    </row>
    <row r="112" spans="1:3" x14ac:dyDescent="0.35">
      <c r="A112" s="1">
        <v>42283</v>
      </c>
      <c r="B112">
        <v>0</v>
      </c>
      <c r="C112" s="4">
        <f t="shared" si="1"/>
        <v>0.2857142857142857</v>
      </c>
    </row>
    <row r="113" spans="1:3" x14ac:dyDescent="0.35">
      <c r="A113" s="1">
        <v>42284</v>
      </c>
      <c r="B113">
        <f>COUNTIF(Overall!A:A, "2015-10-07")</f>
        <v>1</v>
      </c>
      <c r="C113" s="4">
        <f t="shared" si="1"/>
        <v>0.2857142857142857</v>
      </c>
    </row>
    <row r="114" spans="1:3" x14ac:dyDescent="0.35">
      <c r="A114" s="1">
        <v>42285</v>
      </c>
      <c r="B114">
        <v>0</v>
      </c>
      <c r="C114" s="4">
        <f t="shared" si="1"/>
        <v>0.2857142857142857</v>
      </c>
    </row>
    <row r="115" spans="1:3" x14ac:dyDescent="0.35">
      <c r="A115" s="1">
        <v>42286</v>
      </c>
      <c r="B115">
        <v>0</v>
      </c>
      <c r="C115" s="4">
        <f t="shared" si="1"/>
        <v>0.2857142857142857</v>
      </c>
    </row>
    <row r="116" spans="1:3" x14ac:dyDescent="0.35">
      <c r="A116" s="1">
        <v>42287</v>
      </c>
      <c r="B116">
        <f>COUNTIF(Overall!A:A, "2015-10-10")</f>
        <v>1</v>
      </c>
      <c r="C116" s="4">
        <f t="shared" si="1"/>
        <v>0.2857142857142857</v>
      </c>
    </row>
    <row r="117" spans="1:3" x14ac:dyDescent="0.35">
      <c r="A117" s="1">
        <v>42288</v>
      </c>
      <c r="B117">
        <v>0</v>
      </c>
      <c r="C117" s="4">
        <f t="shared" si="1"/>
        <v>0.2857142857142857</v>
      </c>
    </row>
    <row r="118" spans="1:3" x14ac:dyDescent="0.35">
      <c r="A118" s="1">
        <v>42289</v>
      </c>
      <c r="B118">
        <v>0</v>
      </c>
      <c r="C118" s="4">
        <f t="shared" si="1"/>
        <v>0.2857142857142857</v>
      </c>
    </row>
    <row r="119" spans="1:3" x14ac:dyDescent="0.35">
      <c r="A119" s="1">
        <v>42290</v>
      </c>
      <c r="B119">
        <v>0</v>
      </c>
      <c r="C119" s="4">
        <f t="shared" si="1"/>
        <v>0.2857142857142857</v>
      </c>
    </row>
    <row r="120" spans="1:3" x14ac:dyDescent="0.35">
      <c r="A120" s="1">
        <v>42291</v>
      </c>
      <c r="B120">
        <v>0</v>
      </c>
      <c r="C120" s="4">
        <f t="shared" si="1"/>
        <v>0.14285714285714285</v>
      </c>
    </row>
    <row r="121" spans="1:3" x14ac:dyDescent="0.35">
      <c r="A121" s="1">
        <v>42292</v>
      </c>
      <c r="B121">
        <v>0</v>
      </c>
      <c r="C121" s="4">
        <f t="shared" si="1"/>
        <v>0.14285714285714285</v>
      </c>
    </row>
    <row r="122" spans="1:3" x14ac:dyDescent="0.35">
      <c r="A122" s="1">
        <v>42293</v>
      </c>
      <c r="B122">
        <v>0</v>
      </c>
      <c r="C122" s="4">
        <f t="shared" si="1"/>
        <v>0.14285714285714285</v>
      </c>
    </row>
    <row r="123" spans="1:3" x14ac:dyDescent="0.35">
      <c r="A123" s="1">
        <v>42294</v>
      </c>
      <c r="B123">
        <v>0</v>
      </c>
      <c r="C123" s="4">
        <f t="shared" si="1"/>
        <v>0</v>
      </c>
    </row>
    <row r="124" spans="1:3" x14ac:dyDescent="0.35">
      <c r="A124" s="1">
        <v>42295</v>
      </c>
      <c r="B124">
        <v>0</v>
      </c>
      <c r="C124" s="4">
        <f t="shared" si="1"/>
        <v>0</v>
      </c>
    </row>
    <row r="125" spans="1:3" x14ac:dyDescent="0.35">
      <c r="A125" s="1">
        <v>42296</v>
      </c>
      <c r="B125">
        <f>COUNTIF(Overall!A:A, "2015-10-19")</f>
        <v>1</v>
      </c>
      <c r="C125" s="4">
        <f t="shared" si="1"/>
        <v>0.14285714285714285</v>
      </c>
    </row>
    <row r="126" spans="1:3" x14ac:dyDescent="0.35">
      <c r="A126" s="1">
        <v>42297</v>
      </c>
      <c r="B126">
        <v>0</v>
      </c>
      <c r="C126" s="4">
        <f t="shared" si="1"/>
        <v>0.14285714285714285</v>
      </c>
    </row>
    <row r="127" spans="1:3" x14ac:dyDescent="0.35">
      <c r="A127" s="1">
        <v>42298</v>
      </c>
      <c r="B127">
        <v>0</v>
      </c>
      <c r="C127" s="4">
        <f t="shared" si="1"/>
        <v>0.14285714285714285</v>
      </c>
    </row>
    <row r="128" spans="1:3" x14ac:dyDescent="0.35">
      <c r="A128" s="1">
        <v>42299</v>
      </c>
      <c r="B128">
        <v>0</v>
      </c>
      <c r="C128" s="4">
        <f t="shared" si="1"/>
        <v>0.14285714285714285</v>
      </c>
    </row>
    <row r="129" spans="1:3" x14ac:dyDescent="0.35">
      <c r="A129" s="1">
        <v>42300</v>
      </c>
      <c r="B129">
        <v>0</v>
      </c>
      <c r="C129" s="4">
        <f t="shared" si="1"/>
        <v>0.14285714285714285</v>
      </c>
    </row>
    <row r="130" spans="1:3" x14ac:dyDescent="0.35">
      <c r="A130" s="1">
        <v>42301</v>
      </c>
      <c r="B130">
        <f>COUNTIF(Overall!A:A, "2015-10-24")</f>
        <v>1</v>
      </c>
      <c r="C130" s="4">
        <f t="shared" si="1"/>
        <v>0.2857142857142857</v>
      </c>
    </row>
    <row r="131" spans="1:3" x14ac:dyDescent="0.35">
      <c r="A131" s="1">
        <v>42302</v>
      </c>
      <c r="B131">
        <v>0</v>
      </c>
      <c r="C131" s="4">
        <f t="shared" si="1"/>
        <v>0.2857142857142857</v>
      </c>
    </row>
    <row r="132" spans="1:3" x14ac:dyDescent="0.35">
      <c r="A132" s="1">
        <v>42303</v>
      </c>
      <c r="B132">
        <v>0</v>
      </c>
      <c r="C132" s="4">
        <f t="shared" si="1"/>
        <v>0.14285714285714285</v>
      </c>
    </row>
    <row r="133" spans="1:3" x14ac:dyDescent="0.35">
      <c r="A133" s="1">
        <v>42304</v>
      </c>
      <c r="B133">
        <f>COUNTIF(Overall!A:A, "2015-10-27")</f>
        <v>1</v>
      </c>
      <c r="C133" s="4">
        <f t="shared" si="1"/>
        <v>0.2857142857142857</v>
      </c>
    </row>
    <row r="134" spans="1:3" x14ac:dyDescent="0.35">
      <c r="A134" s="1">
        <v>42305</v>
      </c>
      <c r="B134">
        <v>0</v>
      </c>
      <c r="C134" s="4">
        <f t="shared" si="1"/>
        <v>0.2857142857142857</v>
      </c>
    </row>
    <row r="135" spans="1:3" x14ac:dyDescent="0.35">
      <c r="A135" s="1">
        <v>42306</v>
      </c>
      <c r="B135">
        <f>COUNTIF(Overall!A:A, "2015-10-29")</f>
        <v>1</v>
      </c>
      <c r="C135" s="4">
        <f t="shared" si="1"/>
        <v>0.42857142857142855</v>
      </c>
    </row>
    <row r="136" spans="1:3" x14ac:dyDescent="0.35">
      <c r="A136" s="1">
        <v>42307</v>
      </c>
      <c r="B136">
        <v>0</v>
      </c>
      <c r="C136" s="4">
        <f t="shared" ref="C136:C199" si="2">AVERAGE(B130:B136)</f>
        <v>0.42857142857142855</v>
      </c>
    </row>
    <row r="137" spans="1:3" x14ac:dyDescent="0.35">
      <c r="A137" s="1">
        <v>42308</v>
      </c>
      <c r="B137">
        <f>COUNTIF(Overall!A:A, "2015-10-31")</f>
        <v>1</v>
      </c>
      <c r="C137" s="4">
        <f t="shared" si="2"/>
        <v>0.42857142857142855</v>
      </c>
    </row>
    <row r="138" spans="1:3" x14ac:dyDescent="0.35">
      <c r="A138" s="1">
        <v>42309</v>
      </c>
      <c r="B138">
        <v>0</v>
      </c>
      <c r="C138" s="4">
        <f t="shared" si="2"/>
        <v>0.42857142857142855</v>
      </c>
    </row>
    <row r="139" spans="1:3" x14ac:dyDescent="0.35">
      <c r="A139" s="1">
        <v>42310</v>
      </c>
      <c r="B139">
        <v>0</v>
      </c>
      <c r="C139" s="4">
        <f t="shared" si="2"/>
        <v>0.42857142857142855</v>
      </c>
    </row>
    <row r="140" spans="1:3" x14ac:dyDescent="0.35">
      <c r="A140" s="1">
        <v>42311</v>
      </c>
      <c r="B140">
        <v>0</v>
      </c>
      <c r="C140" s="4">
        <f t="shared" si="2"/>
        <v>0.2857142857142857</v>
      </c>
    </row>
    <row r="141" spans="1:3" x14ac:dyDescent="0.35">
      <c r="A141" s="1">
        <v>42312</v>
      </c>
      <c r="B141">
        <v>0</v>
      </c>
      <c r="C141" s="4">
        <f t="shared" si="2"/>
        <v>0.2857142857142857</v>
      </c>
    </row>
    <row r="142" spans="1:3" x14ac:dyDescent="0.35">
      <c r="A142" s="1">
        <v>42313</v>
      </c>
      <c r="B142">
        <v>0</v>
      </c>
      <c r="C142" s="4">
        <f t="shared" si="2"/>
        <v>0.14285714285714285</v>
      </c>
    </row>
    <row r="143" spans="1:3" x14ac:dyDescent="0.35">
      <c r="A143" s="1">
        <v>42314</v>
      </c>
      <c r="B143">
        <v>0</v>
      </c>
      <c r="C143" s="4">
        <f t="shared" si="2"/>
        <v>0.14285714285714285</v>
      </c>
    </row>
    <row r="144" spans="1:3" x14ac:dyDescent="0.35">
      <c r="A144" s="1">
        <v>42315</v>
      </c>
      <c r="B144">
        <v>0</v>
      </c>
      <c r="C144" s="4">
        <f t="shared" si="2"/>
        <v>0</v>
      </c>
    </row>
    <row r="145" spans="1:3" x14ac:dyDescent="0.35">
      <c r="A145" s="1">
        <v>42316</v>
      </c>
      <c r="B145">
        <v>0</v>
      </c>
      <c r="C145" s="4">
        <f t="shared" si="2"/>
        <v>0</v>
      </c>
    </row>
    <row r="146" spans="1:3" x14ac:dyDescent="0.35">
      <c r="A146" s="1">
        <v>42317</v>
      </c>
      <c r="B146">
        <f>COUNTIF(Overall!A:A, "2015-11-09")</f>
        <v>1</v>
      </c>
      <c r="C146" s="4">
        <f t="shared" si="2"/>
        <v>0.14285714285714285</v>
      </c>
    </row>
    <row r="147" spans="1:3" x14ac:dyDescent="0.35">
      <c r="A147" s="1">
        <v>42318</v>
      </c>
      <c r="B147">
        <f>COUNTIF(Overall!A:A, "2015-11-10")</f>
        <v>0</v>
      </c>
      <c r="C147" s="4">
        <f t="shared" si="2"/>
        <v>0.14285714285714285</v>
      </c>
    </row>
    <row r="148" spans="1:3" x14ac:dyDescent="0.35">
      <c r="A148" s="1">
        <v>42319</v>
      </c>
      <c r="B148">
        <f>COUNTIF(Overall!A:A, "2015-11-11")</f>
        <v>0</v>
      </c>
      <c r="C148" s="4">
        <f t="shared" si="2"/>
        <v>0.14285714285714285</v>
      </c>
    </row>
    <row r="149" spans="1:3" x14ac:dyDescent="0.35">
      <c r="A149" s="1">
        <v>42320</v>
      </c>
      <c r="B149">
        <f>COUNTIF(Overall!A:A, "2015-11-12")</f>
        <v>1</v>
      </c>
      <c r="C149" s="4">
        <f t="shared" si="2"/>
        <v>0.2857142857142857</v>
      </c>
    </row>
    <row r="150" spans="1:3" x14ac:dyDescent="0.35">
      <c r="A150" s="1">
        <v>42321</v>
      </c>
      <c r="B150">
        <f>COUNTIF(Overall!A:A, "2015-11-13")</f>
        <v>0</v>
      </c>
      <c r="C150" s="4">
        <f t="shared" si="2"/>
        <v>0.2857142857142857</v>
      </c>
    </row>
    <row r="151" spans="1:3" x14ac:dyDescent="0.35">
      <c r="A151" s="1">
        <v>42322</v>
      </c>
      <c r="B151">
        <f>COUNTIF(Overall!A:A, "2015-11-14")</f>
        <v>1</v>
      </c>
      <c r="C151" s="4">
        <f t="shared" si="2"/>
        <v>0.42857142857142855</v>
      </c>
    </row>
    <row r="152" spans="1:3" x14ac:dyDescent="0.35">
      <c r="A152" s="1">
        <v>42323</v>
      </c>
      <c r="B152">
        <f>COUNTIF(Overall!A:A, "2015-11-15")</f>
        <v>0</v>
      </c>
      <c r="C152" s="4">
        <f t="shared" si="2"/>
        <v>0.42857142857142855</v>
      </c>
    </row>
    <row r="153" spans="1:3" x14ac:dyDescent="0.35">
      <c r="A153" s="1">
        <v>42324</v>
      </c>
      <c r="B153">
        <f>COUNTIF(Overall!A:A, "2015-11-16")</f>
        <v>1</v>
      </c>
      <c r="C153" s="4">
        <f t="shared" si="2"/>
        <v>0.42857142857142855</v>
      </c>
    </row>
    <row r="154" spans="1:3" x14ac:dyDescent="0.35">
      <c r="A154" s="1">
        <v>42325</v>
      </c>
      <c r="B154">
        <f>COUNTIF(Overall!A:A, "2015-11-17")</f>
        <v>0</v>
      </c>
      <c r="C154" s="4">
        <f t="shared" si="2"/>
        <v>0.42857142857142855</v>
      </c>
    </row>
    <row r="155" spans="1:3" x14ac:dyDescent="0.35">
      <c r="A155" s="1">
        <v>42326</v>
      </c>
      <c r="B155">
        <f>COUNTIF(Overall!A:A, "2015-11-18")</f>
        <v>1</v>
      </c>
      <c r="C155" s="4">
        <f t="shared" si="2"/>
        <v>0.5714285714285714</v>
      </c>
    </row>
    <row r="156" spans="1:3" x14ac:dyDescent="0.35">
      <c r="A156" s="1">
        <v>42327</v>
      </c>
      <c r="B156">
        <f>COUNTIF(Overall!A:A, "2015-11-19")</f>
        <v>1</v>
      </c>
      <c r="C156" s="4">
        <f t="shared" si="2"/>
        <v>0.5714285714285714</v>
      </c>
    </row>
    <row r="157" spans="1:3" x14ac:dyDescent="0.35">
      <c r="A157" s="1">
        <v>42328</v>
      </c>
      <c r="B157">
        <f>COUNTIF(Overall!A:A, "2015-11-20")</f>
        <v>0</v>
      </c>
      <c r="C157" s="4">
        <f t="shared" si="2"/>
        <v>0.5714285714285714</v>
      </c>
    </row>
    <row r="158" spans="1:3" x14ac:dyDescent="0.35">
      <c r="A158" s="1">
        <v>42329</v>
      </c>
      <c r="B158">
        <f>COUNTIF(Overall!A:A, "2015-11-21")</f>
        <v>1</v>
      </c>
      <c r="C158" s="4">
        <f t="shared" si="2"/>
        <v>0.5714285714285714</v>
      </c>
    </row>
    <row r="159" spans="1:3" x14ac:dyDescent="0.35">
      <c r="A159" s="1">
        <v>42330</v>
      </c>
      <c r="B159">
        <f>COUNTIF(Overall!A:A, "2015-11-22")</f>
        <v>0</v>
      </c>
      <c r="C159" s="4">
        <f t="shared" si="2"/>
        <v>0.5714285714285714</v>
      </c>
    </row>
    <row r="160" spans="1:3" x14ac:dyDescent="0.35">
      <c r="A160" s="1">
        <v>42331</v>
      </c>
      <c r="B160">
        <f>COUNTIF(Overall!A:A, "2015-11-23")</f>
        <v>1</v>
      </c>
      <c r="C160" s="4">
        <f t="shared" si="2"/>
        <v>0.5714285714285714</v>
      </c>
    </row>
    <row r="161" spans="1:3" x14ac:dyDescent="0.35">
      <c r="A161" s="1">
        <v>42332</v>
      </c>
      <c r="B161">
        <f>COUNTIF(Overall!A:A, "2015-11-24")</f>
        <v>1</v>
      </c>
      <c r="C161" s="4">
        <f t="shared" si="2"/>
        <v>0.7142857142857143</v>
      </c>
    </row>
    <row r="162" spans="1:3" x14ac:dyDescent="0.35">
      <c r="A162" s="1">
        <v>42333</v>
      </c>
      <c r="B162">
        <f>COUNTIF(Overall!A:A, "2015-11-25")</f>
        <v>0</v>
      </c>
      <c r="C162" s="4">
        <f t="shared" si="2"/>
        <v>0.5714285714285714</v>
      </c>
    </row>
    <row r="163" spans="1:3" x14ac:dyDescent="0.35">
      <c r="A163" s="1">
        <v>42334</v>
      </c>
      <c r="B163">
        <f>COUNTIF(Overall!A:A, "2015-11-26")</f>
        <v>0</v>
      </c>
      <c r="C163" s="4">
        <f t="shared" si="2"/>
        <v>0.42857142857142855</v>
      </c>
    </row>
    <row r="164" spans="1:3" x14ac:dyDescent="0.35">
      <c r="A164" s="1">
        <v>42335</v>
      </c>
      <c r="B164">
        <f>COUNTIF(Overall!A:A, "2015-11-27")</f>
        <v>0</v>
      </c>
      <c r="C164" s="4">
        <f t="shared" si="2"/>
        <v>0.42857142857142855</v>
      </c>
    </row>
    <row r="165" spans="1:3" x14ac:dyDescent="0.35">
      <c r="A165" s="1">
        <v>42336</v>
      </c>
      <c r="B165">
        <f>COUNTIF(Overall!A:A, "2015-11-28")</f>
        <v>1</v>
      </c>
      <c r="C165" s="4">
        <f t="shared" si="2"/>
        <v>0.42857142857142855</v>
      </c>
    </row>
    <row r="166" spans="1:3" x14ac:dyDescent="0.35">
      <c r="A166" s="1">
        <v>42337</v>
      </c>
      <c r="B166">
        <f>COUNTIF(Overall!A:A, "2015-11-29")</f>
        <v>0</v>
      </c>
      <c r="C166" s="4">
        <f t="shared" si="2"/>
        <v>0.42857142857142855</v>
      </c>
    </row>
    <row r="167" spans="1:3" x14ac:dyDescent="0.35">
      <c r="A167" s="1">
        <v>42338</v>
      </c>
      <c r="B167">
        <f>COUNTIF(Overall!A:A, "2015-11-30")</f>
        <v>1</v>
      </c>
      <c r="C167" s="4">
        <f t="shared" si="2"/>
        <v>0.42857142857142855</v>
      </c>
    </row>
    <row r="168" spans="1:3" x14ac:dyDescent="0.35">
      <c r="A168" s="1">
        <v>42339</v>
      </c>
      <c r="B168">
        <f>COUNTIF(Overall!A:A, "2015-12-01")</f>
        <v>1</v>
      </c>
      <c r="C168" s="4">
        <f t="shared" si="2"/>
        <v>0.42857142857142855</v>
      </c>
    </row>
    <row r="169" spans="1:3" x14ac:dyDescent="0.35">
      <c r="A169" s="1">
        <v>42340</v>
      </c>
      <c r="B169">
        <f>COUNTIF(Overall!A:A, "2015-12-02")</f>
        <v>1</v>
      </c>
      <c r="C169" s="4">
        <f t="shared" si="2"/>
        <v>0.5714285714285714</v>
      </c>
    </row>
    <row r="170" spans="1:3" x14ac:dyDescent="0.35">
      <c r="A170" s="1">
        <v>42341</v>
      </c>
      <c r="B170">
        <f>COUNTIF(Overall!A:A, "2015-12-03")</f>
        <v>0</v>
      </c>
      <c r="C170" s="4">
        <f t="shared" si="2"/>
        <v>0.5714285714285714</v>
      </c>
    </row>
    <row r="171" spans="1:3" x14ac:dyDescent="0.35">
      <c r="A171" s="1">
        <v>42342</v>
      </c>
      <c r="B171">
        <f>COUNTIF(Overall!A:A, "2015-12-04")</f>
        <v>1</v>
      </c>
      <c r="C171" s="4">
        <f t="shared" si="2"/>
        <v>0.7142857142857143</v>
      </c>
    </row>
    <row r="172" spans="1:3" x14ac:dyDescent="0.35">
      <c r="A172" s="1">
        <v>42343</v>
      </c>
      <c r="B172">
        <f>COUNTIF(Overall!A:A, "2015-12-05")</f>
        <v>2</v>
      </c>
      <c r="C172" s="4">
        <f t="shared" si="2"/>
        <v>0.8571428571428571</v>
      </c>
    </row>
    <row r="173" spans="1:3" x14ac:dyDescent="0.35">
      <c r="A173" s="1">
        <v>42344</v>
      </c>
      <c r="B173">
        <f>COUNTIF(Overall!A:A, "2015-12-06")</f>
        <v>0</v>
      </c>
      <c r="C173" s="4">
        <f t="shared" si="2"/>
        <v>0.8571428571428571</v>
      </c>
    </row>
    <row r="174" spans="1:3" x14ac:dyDescent="0.35">
      <c r="A174" s="1">
        <v>42345</v>
      </c>
      <c r="B174">
        <f>COUNTIF(Overall!A:A, "2015-12-07")</f>
        <v>1</v>
      </c>
      <c r="C174" s="4">
        <f t="shared" si="2"/>
        <v>0.8571428571428571</v>
      </c>
    </row>
    <row r="175" spans="1:3" x14ac:dyDescent="0.35">
      <c r="A175" s="1">
        <v>42346</v>
      </c>
      <c r="B175">
        <f>COUNTIF(Overall!A:A, "2015-12-08")</f>
        <v>0</v>
      </c>
      <c r="C175" s="4">
        <f t="shared" si="2"/>
        <v>0.7142857142857143</v>
      </c>
    </row>
    <row r="176" spans="1:3" x14ac:dyDescent="0.35">
      <c r="A176" s="1">
        <v>42347</v>
      </c>
      <c r="B176">
        <f>COUNTIF(Overall!A:A, "2015-12-09")</f>
        <v>0</v>
      </c>
      <c r="C176" s="4">
        <f t="shared" si="2"/>
        <v>0.5714285714285714</v>
      </c>
    </row>
    <row r="177" spans="1:3" x14ac:dyDescent="0.35">
      <c r="A177" s="1">
        <v>42348</v>
      </c>
      <c r="B177">
        <f>COUNTIF(Overall!A:A, "2015-12-10")</f>
        <v>0</v>
      </c>
      <c r="C177" s="4">
        <f t="shared" si="2"/>
        <v>0.5714285714285714</v>
      </c>
    </row>
    <row r="178" spans="1:3" x14ac:dyDescent="0.35">
      <c r="A178" s="1">
        <v>42349</v>
      </c>
      <c r="B178">
        <f>COUNTIF(Overall!A:A, "2015-12-11")</f>
        <v>1</v>
      </c>
      <c r="C178" s="4">
        <f t="shared" si="2"/>
        <v>0.5714285714285714</v>
      </c>
    </row>
    <row r="179" spans="1:3" x14ac:dyDescent="0.35">
      <c r="A179" s="1">
        <v>42350</v>
      </c>
      <c r="B179">
        <f>COUNTIF(Overall!A:A, "2015-12-12")</f>
        <v>1</v>
      </c>
      <c r="C179" s="4">
        <f t="shared" si="2"/>
        <v>0.42857142857142855</v>
      </c>
    </row>
    <row r="180" spans="1:3" x14ac:dyDescent="0.35">
      <c r="A180" s="1">
        <v>42351</v>
      </c>
      <c r="B180">
        <f>COUNTIF(Overall!A:A, "2015-12-13")</f>
        <v>0</v>
      </c>
      <c r="C180" s="4">
        <f t="shared" si="2"/>
        <v>0.42857142857142855</v>
      </c>
    </row>
    <row r="181" spans="1:3" x14ac:dyDescent="0.35">
      <c r="A181" s="1">
        <v>42352</v>
      </c>
      <c r="B181">
        <f>COUNTIF(Overall!A:A, "2015-12-14")</f>
        <v>1</v>
      </c>
      <c r="C181" s="4">
        <f t="shared" si="2"/>
        <v>0.42857142857142855</v>
      </c>
    </row>
    <row r="182" spans="1:3" x14ac:dyDescent="0.35">
      <c r="A182" s="1">
        <v>42353</v>
      </c>
      <c r="B182">
        <f>COUNTIF(Overall!A:A, "2015-12-15")</f>
        <v>0</v>
      </c>
      <c r="C182" s="4">
        <f t="shared" si="2"/>
        <v>0.42857142857142855</v>
      </c>
    </row>
    <row r="183" spans="1:3" x14ac:dyDescent="0.35">
      <c r="A183" s="1">
        <v>42354</v>
      </c>
      <c r="B183">
        <f>COUNTIF(Overall!A:A, "2015-12-16")</f>
        <v>1</v>
      </c>
      <c r="C183" s="4">
        <f t="shared" si="2"/>
        <v>0.5714285714285714</v>
      </c>
    </row>
    <row r="184" spans="1:3" x14ac:dyDescent="0.35">
      <c r="A184" s="1">
        <v>42355</v>
      </c>
      <c r="B184">
        <f>COUNTIF(Overall!A:A, "2015-12-17")</f>
        <v>0</v>
      </c>
      <c r="C184" s="4">
        <f t="shared" si="2"/>
        <v>0.5714285714285714</v>
      </c>
    </row>
    <row r="185" spans="1:3" x14ac:dyDescent="0.35">
      <c r="A185" s="1">
        <v>42356</v>
      </c>
      <c r="B185">
        <f>COUNTIF(Overall!A:A, "2015-12-18")</f>
        <v>0</v>
      </c>
      <c r="C185" s="4">
        <f t="shared" si="2"/>
        <v>0.42857142857142855</v>
      </c>
    </row>
    <row r="186" spans="1:3" x14ac:dyDescent="0.35">
      <c r="A186" s="1">
        <v>42357</v>
      </c>
      <c r="B186">
        <f>COUNTIF(Overall!A:A, "2015-12-19")</f>
        <v>1</v>
      </c>
      <c r="C186" s="4">
        <f t="shared" si="2"/>
        <v>0.42857142857142855</v>
      </c>
    </row>
    <row r="187" spans="1:3" x14ac:dyDescent="0.35">
      <c r="A187" s="1">
        <v>42358</v>
      </c>
      <c r="B187">
        <f>COUNTIF(Overall!A:A, "2015-12-20")</f>
        <v>0</v>
      </c>
      <c r="C187" s="4">
        <f t="shared" si="2"/>
        <v>0.42857142857142855</v>
      </c>
    </row>
    <row r="188" spans="1:3" x14ac:dyDescent="0.35">
      <c r="A188" s="1">
        <v>42359</v>
      </c>
      <c r="B188">
        <f>COUNTIF(Overall!A:A, "2015-12-21")</f>
        <v>1</v>
      </c>
      <c r="C188" s="4">
        <f t="shared" si="2"/>
        <v>0.42857142857142855</v>
      </c>
    </row>
    <row r="189" spans="1:3" x14ac:dyDescent="0.35">
      <c r="A189" s="1">
        <v>42360</v>
      </c>
      <c r="B189">
        <f>COUNTIF(Overall!A:A, "2015-12-22")</f>
        <v>0</v>
      </c>
      <c r="C189" s="4">
        <f t="shared" si="2"/>
        <v>0.42857142857142855</v>
      </c>
    </row>
    <row r="190" spans="1:3" x14ac:dyDescent="0.35">
      <c r="A190" s="1">
        <v>42361</v>
      </c>
      <c r="B190">
        <f>COUNTIF(Overall!A:A, "2015-12-23")</f>
        <v>0</v>
      </c>
      <c r="C190" s="4">
        <f t="shared" si="2"/>
        <v>0.2857142857142857</v>
      </c>
    </row>
    <row r="191" spans="1:3" x14ac:dyDescent="0.35">
      <c r="A191" s="1">
        <v>42362</v>
      </c>
      <c r="B191">
        <f>COUNTIF(Overall!A:A, "2015-12-24")</f>
        <v>0</v>
      </c>
      <c r="C191" s="4">
        <f t="shared" si="2"/>
        <v>0.2857142857142857</v>
      </c>
    </row>
    <row r="192" spans="1:3" x14ac:dyDescent="0.35">
      <c r="A192" s="1">
        <v>42363</v>
      </c>
      <c r="B192">
        <f>COUNTIF(Overall!A:A, "2015-12-25")</f>
        <v>0</v>
      </c>
      <c r="C192" s="4">
        <f t="shared" si="2"/>
        <v>0.2857142857142857</v>
      </c>
    </row>
    <row r="193" spans="1:3" x14ac:dyDescent="0.35">
      <c r="A193" s="1">
        <v>42364</v>
      </c>
      <c r="B193">
        <f>COUNTIF(Overall!A:A, "2015-12-26")</f>
        <v>0</v>
      </c>
      <c r="C193" s="4">
        <f t="shared" si="2"/>
        <v>0.14285714285714285</v>
      </c>
    </row>
    <row r="194" spans="1:3" x14ac:dyDescent="0.35">
      <c r="A194" s="1">
        <v>42365</v>
      </c>
      <c r="B194">
        <f>COUNTIF(Overall!A:A, "2015-12-27")</f>
        <v>0</v>
      </c>
      <c r="C194" s="4">
        <f t="shared" si="2"/>
        <v>0.14285714285714285</v>
      </c>
    </row>
    <row r="195" spans="1:3" x14ac:dyDescent="0.35">
      <c r="A195" s="1">
        <v>42366</v>
      </c>
      <c r="B195">
        <f>COUNTIF(Overall!A:A, "2015-12-28")</f>
        <v>1</v>
      </c>
      <c r="C195" s="4">
        <f t="shared" si="2"/>
        <v>0.14285714285714285</v>
      </c>
    </row>
    <row r="196" spans="1:3" x14ac:dyDescent="0.35">
      <c r="A196" s="1">
        <v>42367</v>
      </c>
      <c r="B196">
        <f>COUNTIF(Overall!A:A, "2015-12-29")</f>
        <v>1</v>
      </c>
      <c r="C196" s="4">
        <f t="shared" si="2"/>
        <v>0.2857142857142857</v>
      </c>
    </row>
    <row r="197" spans="1:3" x14ac:dyDescent="0.35">
      <c r="A197" s="1">
        <v>42368</v>
      </c>
      <c r="B197">
        <f>COUNTIF(Overall!A:A, "2015-12-30")</f>
        <v>1</v>
      </c>
      <c r="C197" s="4">
        <f t="shared" si="2"/>
        <v>0.42857142857142855</v>
      </c>
    </row>
    <row r="198" spans="1:3" x14ac:dyDescent="0.35">
      <c r="A198" s="1">
        <v>42369</v>
      </c>
      <c r="B198">
        <f>COUNTIF(Overall!A:A, "2015-12-31")</f>
        <v>0</v>
      </c>
      <c r="C198" s="4">
        <f t="shared" si="2"/>
        <v>0.42857142857142855</v>
      </c>
    </row>
    <row r="199" spans="1:3" x14ac:dyDescent="0.35">
      <c r="A199" s="1">
        <v>42370</v>
      </c>
      <c r="B199">
        <f>COUNTIF(Overall!A:A, "2016-01-01")</f>
        <v>0</v>
      </c>
      <c r="C199" s="4">
        <f t="shared" si="2"/>
        <v>0.42857142857142855</v>
      </c>
    </row>
    <row r="200" spans="1:3" x14ac:dyDescent="0.35">
      <c r="A200" s="1">
        <v>42371</v>
      </c>
      <c r="B200">
        <f>COUNTIF(Overall!A:A, "2016-01-02")</f>
        <v>1</v>
      </c>
      <c r="C200" s="4">
        <f t="shared" ref="C200:C263" si="3">AVERAGE(B194:B200)</f>
        <v>0.5714285714285714</v>
      </c>
    </row>
    <row r="201" spans="1:3" x14ac:dyDescent="0.35">
      <c r="A201" s="1">
        <v>42372</v>
      </c>
      <c r="B201">
        <f>COUNTIF(Overall!A:A, "2016-01-03")</f>
        <v>0</v>
      </c>
      <c r="C201" s="4">
        <f t="shared" si="3"/>
        <v>0.5714285714285714</v>
      </c>
    </row>
    <row r="202" spans="1:3" x14ac:dyDescent="0.35">
      <c r="A202" s="1">
        <v>42373</v>
      </c>
      <c r="B202">
        <f>COUNTIF(Overall!A:A, "2016-01-04")</f>
        <v>1</v>
      </c>
      <c r="C202" s="4">
        <f t="shared" si="3"/>
        <v>0.5714285714285714</v>
      </c>
    </row>
    <row r="203" spans="1:3" x14ac:dyDescent="0.35">
      <c r="A203" s="1">
        <v>42374</v>
      </c>
      <c r="B203">
        <f>COUNTIF(Overall!A:A, "2016-01-05")</f>
        <v>1</v>
      </c>
      <c r="C203" s="4">
        <f t="shared" si="3"/>
        <v>0.5714285714285714</v>
      </c>
    </row>
    <row r="204" spans="1:3" x14ac:dyDescent="0.35">
      <c r="A204" s="1">
        <v>42375</v>
      </c>
      <c r="B204">
        <f>COUNTIF(Overall!A:A, "2016-01-06")</f>
        <v>0</v>
      </c>
      <c r="C204" s="4">
        <f t="shared" si="3"/>
        <v>0.42857142857142855</v>
      </c>
    </row>
    <row r="205" spans="1:3" x14ac:dyDescent="0.35">
      <c r="A205" s="1">
        <v>42376</v>
      </c>
      <c r="B205">
        <f>COUNTIF(Overall!A:A, "2016-01-07")</f>
        <v>1</v>
      </c>
      <c r="C205" s="4">
        <f t="shared" si="3"/>
        <v>0.5714285714285714</v>
      </c>
    </row>
    <row r="206" spans="1:3" x14ac:dyDescent="0.35">
      <c r="A206" s="1">
        <v>42377</v>
      </c>
      <c r="B206">
        <f>COUNTIF(Overall!A:A, "2016-01-08")</f>
        <v>1</v>
      </c>
      <c r="C206" s="4">
        <f t="shared" si="3"/>
        <v>0.7142857142857143</v>
      </c>
    </row>
    <row r="207" spans="1:3" x14ac:dyDescent="0.35">
      <c r="A207" s="1">
        <v>42378</v>
      </c>
      <c r="B207">
        <f>COUNTIF(Overall!A:A, "2016-01-09")</f>
        <v>2</v>
      </c>
      <c r="C207" s="4">
        <f t="shared" si="3"/>
        <v>0.8571428571428571</v>
      </c>
    </row>
    <row r="208" spans="1:3" x14ac:dyDescent="0.35">
      <c r="A208" s="1">
        <v>42379</v>
      </c>
      <c r="B208">
        <f>COUNTIF(Overall!A:A, "2016-01-10")</f>
        <v>1</v>
      </c>
      <c r="C208" s="4">
        <f t="shared" si="3"/>
        <v>1</v>
      </c>
    </row>
    <row r="209" spans="1:3" x14ac:dyDescent="0.35">
      <c r="A209" s="1">
        <v>42380</v>
      </c>
      <c r="B209">
        <f>COUNTIF(Overall!A:A, "2016-01-11")</f>
        <v>1</v>
      </c>
      <c r="C209" s="4">
        <f t="shared" si="3"/>
        <v>1</v>
      </c>
    </row>
    <row r="210" spans="1:3" x14ac:dyDescent="0.35">
      <c r="A210" s="1">
        <v>42381</v>
      </c>
      <c r="B210">
        <f>COUNTIF(Overall!A:A, "2016-01-12")</f>
        <v>1</v>
      </c>
      <c r="C210" s="4">
        <f t="shared" si="3"/>
        <v>1</v>
      </c>
    </row>
    <row r="211" spans="1:3" x14ac:dyDescent="0.35">
      <c r="A211" s="1">
        <v>42382</v>
      </c>
      <c r="B211">
        <f>COUNTIF(Overall!A:A, "2016-01-13")</f>
        <v>1</v>
      </c>
      <c r="C211" s="4">
        <f t="shared" si="3"/>
        <v>1.1428571428571428</v>
      </c>
    </row>
    <row r="212" spans="1:3" x14ac:dyDescent="0.35">
      <c r="A212" s="1">
        <v>42383</v>
      </c>
      <c r="B212">
        <f>COUNTIF(Overall!A:A, "2016-01-14")</f>
        <v>0</v>
      </c>
      <c r="C212" s="4">
        <f t="shared" si="3"/>
        <v>1</v>
      </c>
    </row>
    <row r="213" spans="1:3" x14ac:dyDescent="0.35">
      <c r="A213" s="1">
        <v>42384</v>
      </c>
      <c r="B213">
        <f>COUNTIF(Overall!A:A, "2016-01-15")</f>
        <v>1</v>
      </c>
      <c r="C213" s="4">
        <f t="shared" si="3"/>
        <v>1</v>
      </c>
    </row>
    <row r="214" spans="1:3" x14ac:dyDescent="0.35">
      <c r="A214" s="1">
        <v>42385</v>
      </c>
      <c r="B214">
        <f>COUNTIF(Overall!A:A, "2016-01-16")</f>
        <v>0</v>
      </c>
      <c r="C214" s="4">
        <f t="shared" si="3"/>
        <v>0.7142857142857143</v>
      </c>
    </row>
    <row r="215" spans="1:3" x14ac:dyDescent="0.35">
      <c r="A215" s="1">
        <v>42386</v>
      </c>
      <c r="B215">
        <f>COUNTIF(Overall!A:A, "2016-01-17")</f>
        <v>0</v>
      </c>
      <c r="C215" s="4">
        <f t="shared" si="3"/>
        <v>0.5714285714285714</v>
      </c>
    </row>
    <row r="216" spans="1:3" x14ac:dyDescent="0.35">
      <c r="A216" s="1">
        <v>42387</v>
      </c>
      <c r="B216">
        <f>COUNTIF(Overall!A:A, "2016-01-18")</f>
        <v>2</v>
      </c>
      <c r="C216" s="4">
        <f t="shared" si="3"/>
        <v>0.7142857142857143</v>
      </c>
    </row>
    <row r="217" spans="1:3" x14ac:dyDescent="0.35">
      <c r="A217" s="1">
        <v>42388</v>
      </c>
      <c r="B217">
        <f>COUNTIF(Overall!A:A, "2016-01-19")</f>
        <v>1</v>
      </c>
      <c r="C217" s="4">
        <f t="shared" si="3"/>
        <v>0.7142857142857143</v>
      </c>
    </row>
    <row r="218" spans="1:3" x14ac:dyDescent="0.35">
      <c r="A218" s="1">
        <v>42389</v>
      </c>
      <c r="B218">
        <f>COUNTIF(Overall!A:A, "2016-01-20")</f>
        <v>2</v>
      </c>
      <c r="C218" s="4">
        <f t="shared" si="3"/>
        <v>0.8571428571428571</v>
      </c>
    </row>
    <row r="219" spans="1:3" x14ac:dyDescent="0.35">
      <c r="A219" s="1">
        <v>42390</v>
      </c>
      <c r="B219">
        <f>COUNTIF(Overall!A:A, "2016-01-21")</f>
        <v>1</v>
      </c>
      <c r="C219" s="4">
        <f t="shared" si="3"/>
        <v>1</v>
      </c>
    </row>
    <row r="220" spans="1:3" x14ac:dyDescent="0.35">
      <c r="A220" s="1">
        <v>42391</v>
      </c>
      <c r="B220">
        <f>COUNTIF(Overall!A:A, "2016-01-22")</f>
        <v>0</v>
      </c>
      <c r="C220" s="4">
        <f t="shared" si="3"/>
        <v>0.8571428571428571</v>
      </c>
    </row>
    <row r="221" spans="1:3" x14ac:dyDescent="0.35">
      <c r="A221" s="1">
        <v>42392</v>
      </c>
      <c r="B221">
        <f>COUNTIF(Overall!A:A, "2016-01-23")</f>
        <v>2</v>
      </c>
      <c r="C221" s="4">
        <f t="shared" si="3"/>
        <v>1.1428571428571428</v>
      </c>
    </row>
    <row r="222" spans="1:3" x14ac:dyDescent="0.35">
      <c r="A222" s="1">
        <v>42393</v>
      </c>
      <c r="B222">
        <f>COUNTIF(Overall!A:A, "2016-01-24")</f>
        <v>1</v>
      </c>
      <c r="C222" s="4">
        <f t="shared" si="3"/>
        <v>1.2857142857142858</v>
      </c>
    </row>
    <row r="223" spans="1:3" x14ac:dyDescent="0.35">
      <c r="A223" s="1">
        <v>42394</v>
      </c>
      <c r="B223">
        <f>COUNTIF(Overall!A:A, "2016-01-25")</f>
        <v>1</v>
      </c>
      <c r="C223" s="4">
        <f t="shared" si="3"/>
        <v>1.1428571428571428</v>
      </c>
    </row>
    <row r="224" spans="1:3" x14ac:dyDescent="0.35">
      <c r="A224" s="1">
        <v>42395</v>
      </c>
      <c r="B224">
        <f>COUNTIF(Overall!A:A, "2016-01-26")</f>
        <v>2</v>
      </c>
      <c r="C224" s="4">
        <f t="shared" si="3"/>
        <v>1.2857142857142858</v>
      </c>
    </row>
    <row r="225" spans="1:3" x14ac:dyDescent="0.35">
      <c r="A225" s="1">
        <v>42396</v>
      </c>
      <c r="B225">
        <f>COUNTIF(Overall!A:A, "2016-01-27")</f>
        <v>1</v>
      </c>
      <c r="C225" s="4">
        <f t="shared" si="3"/>
        <v>1.1428571428571428</v>
      </c>
    </row>
    <row r="226" spans="1:3" x14ac:dyDescent="0.35">
      <c r="A226" s="1">
        <v>42397</v>
      </c>
      <c r="B226">
        <f>COUNTIF(Overall!A:A, "2016-01-28")</f>
        <v>1</v>
      </c>
      <c r="C226" s="4">
        <f t="shared" si="3"/>
        <v>1.1428571428571428</v>
      </c>
    </row>
    <row r="227" spans="1:3" x14ac:dyDescent="0.35">
      <c r="A227" s="1">
        <v>42398</v>
      </c>
      <c r="B227">
        <f>COUNTIF(Overall!A:A, "2016-01-29")</f>
        <v>1</v>
      </c>
      <c r="C227" s="4">
        <f t="shared" si="3"/>
        <v>1.2857142857142858</v>
      </c>
    </row>
    <row r="228" spans="1:3" x14ac:dyDescent="0.35">
      <c r="A228" s="1">
        <v>42399</v>
      </c>
      <c r="B228">
        <f>COUNTIF(Overall!A:A, "2016-01-30")</f>
        <v>3</v>
      </c>
      <c r="C228" s="4">
        <f t="shared" si="3"/>
        <v>1.4285714285714286</v>
      </c>
    </row>
    <row r="229" spans="1:3" x14ac:dyDescent="0.35">
      <c r="A229" s="1">
        <v>42400</v>
      </c>
      <c r="B229">
        <f>COUNTIF(Overall!A:A, "2016-01-31")</f>
        <v>1</v>
      </c>
      <c r="C229" s="4">
        <f t="shared" si="3"/>
        <v>1.4285714285714286</v>
      </c>
    </row>
    <row r="230" spans="1:3" x14ac:dyDescent="0.35">
      <c r="A230" s="1">
        <v>42401</v>
      </c>
      <c r="B230">
        <f>COUNTIF(Overall!A:A, "2016-02-01")</f>
        <v>2</v>
      </c>
      <c r="C230" s="4">
        <f t="shared" si="3"/>
        <v>1.5714285714285714</v>
      </c>
    </row>
    <row r="231" spans="1:3" x14ac:dyDescent="0.35">
      <c r="A231" s="1">
        <v>42402</v>
      </c>
      <c r="B231">
        <f>COUNTIF(Overall!A:A, "2016-02-02")</f>
        <v>1</v>
      </c>
      <c r="C231" s="4">
        <f t="shared" si="3"/>
        <v>1.4285714285714286</v>
      </c>
    </row>
    <row r="232" spans="1:3" x14ac:dyDescent="0.35">
      <c r="A232" s="1">
        <v>42403</v>
      </c>
      <c r="B232">
        <f>COUNTIF(Overall!A:A, "2016-02-03")</f>
        <v>1</v>
      </c>
      <c r="C232" s="4">
        <f t="shared" si="3"/>
        <v>1.4285714285714286</v>
      </c>
    </row>
    <row r="233" spans="1:3" x14ac:dyDescent="0.35">
      <c r="A233" s="1">
        <v>42404</v>
      </c>
      <c r="B233">
        <f>COUNTIF(Overall!A:A, "2016-02-04")</f>
        <v>2</v>
      </c>
      <c r="C233" s="4">
        <f t="shared" si="3"/>
        <v>1.5714285714285714</v>
      </c>
    </row>
    <row r="234" spans="1:3" x14ac:dyDescent="0.35">
      <c r="A234" s="1">
        <v>42405</v>
      </c>
      <c r="B234">
        <f>COUNTIF(Overall!A:A, "2016-02-05")</f>
        <v>1</v>
      </c>
      <c r="C234" s="4">
        <f t="shared" si="3"/>
        <v>1.5714285714285714</v>
      </c>
    </row>
    <row r="235" spans="1:3" x14ac:dyDescent="0.35">
      <c r="A235" s="1">
        <v>42406</v>
      </c>
      <c r="B235">
        <f>COUNTIF(Overall!A:A, "2016-02-06")</f>
        <v>0</v>
      </c>
      <c r="C235" s="4">
        <f t="shared" si="3"/>
        <v>1.1428571428571428</v>
      </c>
    </row>
    <row r="236" spans="1:3" x14ac:dyDescent="0.35">
      <c r="A236" s="1">
        <v>42407</v>
      </c>
      <c r="B236">
        <f>COUNTIF(Overall!A:A, "2016-02-07")</f>
        <v>1</v>
      </c>
      <c r="C236" s="4">
        <f t="shared" si="3"/>
        <v>1.1428571428571428</v>
      </c>
    </row>
    <row r="237" spans="1:3" x14ac:dyDescent="0.35">
      <c r="A237" s="1">
        <v>42408</v>
      </c>
      <c r="B237">
        <f>COUNTIF(Overall!A:A, "2016-02-08")</f>
        <v>3</v>
      </c>
      <c r="C237" s="4">
        <f t="shared" si="3"/>
        <v>1.2857142857142858</v>
      </c>
    </row>
    <row r="238" spans="1:3" x14ac:dyDescent="0.35">
      <c r="A238" s="1">
        <v>42409</v>
      </c>
      <c r="B238">
        <f>COUNTIF(Overall!A:A, "2016-02-09")</f>
        <v>0</v>
      </c>
      <c r="C238" s="4">
        <f t="shared" si="3"/>
        <v>1.1428571428571428</v>
      </c>
    </row>
    <row r="239" spans="1:3" x14ac:dyDescent="0.35">
      <c r="A239" s="1">
        <v>42410</v>
      </c>
      <c r="B239">
        <f>COUNTIF(Overall!A:A, "2016-02-10")</f>
        <v>1</v>
      </c>
      <c r="C239" s="4">
        <f t="shared" si="3"/>
        <v>1.1428571428571428</v>
      </c>
    </row>
    <row r="240" spans="1:3" x14ac:dyDescent="0.35">
      <c r="A240" s="1">
        <v>42411</v>
      </c>
      <c r="B240">
        <f>COUNTIF(Overall!A:A, "2016-02-11")</f>
        <v>1</v>
      </c>
      <c r="C240" s="4">
        <f t="shared" si="3"/>
        <v>1</v>
      </c>
    </row>
    <row r="241" spans="1:3" x14ac:dyDescent="0.35">
      <c r="A241" s="1">
        <v>42412</v>
      </c>
      <c r="B241">
        <f>COUNTIF(Overall!A:A, "2016-02-12")</f>
        <v>1</v>
      </c>
      <c r="C241" s="4">
        <f t="shared" si="3"/>
        <v>1</v>
      </c>
    </row>
    <row r="242" spans="1:3" x14ac:dyDescent="0.35">
      <c r="A242" s="1">
        <v>42413</v>
      </c>
      <c r="B242">
        <f>COUNTIF(Overall!A:A, "2016-02-13")</f>
        <v>0</v>
      </c>
      <c r="C242" s="4">
        <f t="shared" si="3"/>
        <v>1</v>
      </c>
    </row>
    <row r="243" spans="1:3" x14ac:dyDescent="0.35">
      <c r="A243" s="1">
        <v>42414</v>
      </c>
      <c r="B243">
        <f>COUNTIF(Overall!A:A, "2016-02-14")</f>
        <v>0</v>
      </c>
      <c r="C243" s="4">
        <f t="shared" si="3"/>
        <v>0.8571428571428571</v>
      </c>
    </row>
    <row r="244" spans="1:3" x14ac:dyDescent="0.35">
      <c r="A244" s="1">
        <v>42415</v>
      </c>
      <c r="B244">
        <f>COUNTIF(Overall!A:A, "2016-02-15")</f>
        <v>1</v>
      </c>
      <c r="C244" s="4">
        <f t="shared" si="3"/>
        <v>0.5714285714285714</v>
      </c>
    </row>
    <row r="245" spans="1:3" x14ac:dyDescent="0.35">
      <c r="A245" s="1">
        <v>42416</v>
      </c>
      <c r="B245">
        <f>COUNTIF(Overall!A:A, "2016-02-16")</f>
        <v>2</v>
      </c>
      <c r="C245" s="4">
        <f t="shared" si="3"/>
        <v>0.8571428571428571</v>
      </c>
    </row>
    <row r="246" spans="1:3" x14ac:dyDescent="0.35">
      <c r="A246" s="1">
        <v>42417</v>
      </c>
      <c r="B246">
        <f>COUNTIF(Overall!A:A, "2016-02-17")</f>
        <v>2</v>
      </c>
      <c r="C246" s="4">
        <f t="shared" si="3"/>
        <v>1</v>
      </c>
    </row>
    <row r="247" spans="1:3" x14ac:dyDescent="0.35">
      <c r="A247" s="1">
        <v>42418</v>
      </c>
      <c r="B247">
        <f>COUNTIF(Overall!A:A, "2016-02-18")</f>
        <v>2</v>
      </c>
      <c r="C247" s="4">
        <f t="shared" si="3"/>
        <v>1.1428571428571428</v>
      </c>
    </row>
    <row r="248" spans="1:3" x14ac:dyDescent="0.35">
      <c r="A248" s="1">
        <v>42419</v>
      </c>
      <c r="B248">
        <f>COUNTIF(Overall!A:A, "2016-02-19")</f>
        <v>3</v>
      </c>
      <c r="C248" s="4">
        <f t="shared" si="3"/>
        <v>1.4285714285714286</v>
      </c>
    </row>
    <row r="249" spans="1:3" x14ac:dyDescent="0.35">
      <c r="A249" s="1">
        <v>42420</v>
      </c>
      <c r="B249">
        <f>COUNTIF(Overall!A:A, "2016-02-20")</f>
        <v>0</v>
      </c>
      <c r="C249" s="4">
        <f t="shared" si="3"/>
        <v>1.4285714285714286</v>
      </c>
    </row>
    <row r="250" spans="1:3" x14ac:dyDescent="0.35">
      <c r="A250" s="1">
        <v>42421</v>
      </c>
      <c r="B250">
        <f>COUNTIF(Overall!A:A, "2016-02-21")</f>
        <v>1</v>
      </c>
      <c r="C250" s="4">
        <f t="shared" si="3"/>
        <v>1.5714285714285714</v>
      </c>
    </row>
    <row r="251" spans="1:3" x14ac:dyDescent="0.35">
      <c r="A251" s="1">
        <v>42422</v>
      </c>
      <c r="B251">
        <f>COUNTIF(Overall!A:A, "2016-02-22")</f>
        <v>1</v>
      </c>
      <c r="C251" s="4">
        <f t="shared" si="3"/>
        <v>1.5714285714285714</v>
      </c>
    </row>
    <row r="252" spans="1:3" x14ac:dyDescent="0.35">
      <c r="A252" s="1">
        <v>42423</v>
      </c>
      <c r="B252">
        <f>COUNTIF(Overall!A:A, "2016-02-23")</f>
        <v>1</v>
      </c>
      <c r="C252" s="4">
        <f t="shared" si="3"/>
        <v>1.4285714285714286</v>
      </c>
    </row>
    <row r="253" spans="1:3" x14ac:dyDescent="0.35">
      <c r="A253" s="1">
        <v>42424</v>
      </c>
      <c r="B253">
        <f>COUNTIF(Overall!A:A, "2016-02-24")</f>
        <v>0</v>
      </c>
      <c r="C253" s="4">
        <f t="shared" si="3"/>
        <v>1.1428571428571428</v>
      </c>
    </row>
    <row r="254" spans="1:3" x14ac:dyDescent="0.35">
      <c r="A254" s="1">
        <v>42425</v>
      </c>
      <c r="B254">
        <f>COUNTIF(Overall!A:A, "2016-02-25")</f>
        <v>0</v>
      </c>
      <c r="C254" s="4">
        <f t="shared" si="3"/>
        <v>0.8571428571428571</v>
      </c>
    </row>
    <row r="255" spans="1:3" x14ac:dyDescent="0.35">
      <c r="A255" s="1">
        <v>42426</v>
      </c>
      <c r="B255">
        <f>COUNTIF(Overall!A:A, "2016-02-26")</f>
        <v>1</v>
      </c>
      <c r="C255" s="4">
        <f t="shared" si="3"/>
        <v>0.5714285714285714</v>
      </c>
    </row>
    <row r="256" spans="1:3" x14ac:dyDescent="0.35">
      <c r="A256" s="1">
        <v>42427</v>
      </c>
      <c r="B256">
        <f>COUNTIF(Overall!A:A, "2016-02-27")</f>
        <v>3</v>
      </c>
      <c r="C256" s="4">
        <f t="shared" si="3"/>
        <v>1</v>
      </c>
    </row>
    <row r="257" spans="1:3" x14ac:dyDescent="0.35">
      <c r="A257" s="1">
        <v>42428</v>
      </c>
      <c r="B257">
        <f>COUNTIF(Overall!A:A, "2016-02-28")</f>
        <v>1</v>
      </c>
      <c r="C257" s="4">
        <f t="shared" si="3"/>
        <v>1</v>
      </c>
    </row>
    <row r="258" spans="1:3" x14ac:dyDescent="0.35">
      <c r="A258" s="1">
        <v>42429</v>
      </c>
      <c r="B258">
        <f>COUNTIF(Overall!A:A, "2016-02-29")</f>
        <v>2</v>
      </c>
      <c r="C258" s="4">
        <f t="shared" si="3"/>
        <v>1.1428571428571428</v>
      </c>
    </row>
    <row r="259" spans="1:3" x14ac:dyDescent="0.35">
      <c r="A259" s="1">
        <v>42430</v>
      </c>
      <c r="B259">
        <f>COUNTIF(Overall!A:A, "2016-03-01")</f>
        <v>2</v>
      </c>
      <c r="C259" s="4">
        <f t="shared" si="3"/>
        <v>1.2857142857142858</v>
      </c>
    </row>
    <row r="260" spans="1:3" x14ac:dyDescent="0.35">
      <c r="A260" s="1">
        <v>42431</v>
      </c>
      <c r="B260">
        <f>COUNTIF(Overall!A:A, "2016-03-02")</f>
        <v>0</v>
      </c>
      <c r="C260" s="4">
        <f t="shared" si="3"/>
        <v>1.2857142857142858</v>
      </c>
    </row>
    <row r="261" spans="1:3" x14ac:dyDescent="0.35">
      <c r="A261" s="1">
        <v>42432</v>
      </c>
      <c r="B261">
        <f>COUNTIF(Overall!A:A, "2016-03-03")</f>
        <v>1</v>
      </c>
      <c r="C261" s="4">
        <f t="shared" si="3"/>
        <v>1.4285714285714286</v>
      </c>
    </row>
    <row r="262" spans="1:3" x14ac:dyDescent="0.35">
      <c r="A262" s="1">
        <v>42433</v>
      </c>
      <c r="B262">
        <f>COUNTIF(Overall!A:A, "2016-03-04")</f>
        <v>3</v>
      </c>
      <c r="C262" s="4">
        <f t="shared" si="3"/>
        <v>1.7142857142857142</v>
      </c>
    </row>
    <row r="263" spans="1:3" x14ac:dyDescent="0.35">
      <c r="A263" s="1">
        <v>42434</v>
      </c>
      <c r="B263">
        <f>COUNTIF(Overall!A:A, "2016-03-05")</f>
        <v>2</v>
      </c>
      <c r="C263" s="4">
        <f t="shared" si="3"/>
        <v>1.5714285714285714</v>
      </c>
    </row>
    <row r="264" spans="1:3" x14ac:dyDescent="0.35">
      <c r="A264" s="1">
        <v>42435</v>
      </c>
      <c r="B264">
        <f>COUNTIF(Overall!A:A, "2016-03-06")</f>
        <v>0</v>
      </c>
      <c r="C264" s="4">
        <f t="shared" ref="C264:C327" si="4">AVERAGE(B258:B264)</f>
        <v>1.4285714285714286</v>
      </c>
    </row>
    <row r="265" spans="1:3" x14ac:dyDescent="0.35">
      <c r="A265" s="1">
        <v>42436</v>
      </c>
      <c r="B265">
        <f>COUNTIF(Overall!A:A, "2016-03-07")</f>
        <v>2</v>
      </c>
      <c r="C265" s="4">
        <f t="shared" si="4"/>
        <v>1.4285714285714286</v>
      </c>
    </row>
    <row r="266" spans="1:3" x14ac:dyDescent="0.35">
      <c r="A266" s="1">
        <v>42437</v>
      </c>
      <c r="B266">
        <f>COUNTIF(Overall!A:A, "2016-03-08")</f>
        <v>0</v>
      </c>
      <c r="C266" s="4">
        <f t="shared" si="4"/>
        <v>1.1428571428571428</v>
      </c>
    </row>
    <row r="267" spans="1:3" x14ac:dyDescent="0.35">
      <c r="A267" s="1">
        <v>42438</v>
      </c>
      <c r="B267">
        <f>COUNTIF(Overall!A:A, "2016-03-09")</f>
        <v>1</v>
      </c>
      <c r="C267" s="4">
        <f t="shared" si="4"/>
        <v>1.2857142857142858</v>
      </c>
    </row>
    <row r="268" spans="1:3" x14ac:dyDescent="0.35">
      <c r="A268" s="1">
        <v>42439</v>
      </c>
      <c r="B268">
        <f>COUNTIF(Overall!A:A, "2016-03-10")</f>
        <v>0</v>
      </c>
      <c r="C268" s="4">
        <f t="shared" si="4"/>
        <v>1.1428571428571428</v>
      </c>
    </row>
    <row r="269" spans="1:3" x14ac:dyDescent="0.35">
      <c r="A269" s="1">
        <v>42440</v>
      </c>
      <c r="B269">
        <f>COUNTIF(Overall!A:A, "2016-03-11")</f>
        <v>1</v>
      </c>
      <c r="C269" s="4">
        <f t="shared" si="4"/>
        <v>0.8571428571428571</v>
      </c>
    </row>
    <row r="270" spans="1:3" x14ac:dyDescent="0.35">
      <c r="A270" s="1">
        <v>42441</v>
      </c>
      <c r="B270">
        <f>COUNTIF(Overall!A:A, "2016-03-12")</f>
        <v>3</v>
      </c>
      <c r="C270" s="4">
        <f t="shared" si="4"/>
        <v>1</v>
      </c>
    </row>
    <row r="271" spans="1:3" x14ac:dyDescent="0.35">
      <c r="A271" s="1">
        <v>42442</v>
      </c>
      <c r="B271">
        <f>COUNTIF(Overall!A:A, "2016-03-13")</f>
        <v>2</v>
      </c>
      <c r="C271" s="4">
        <f t="shared" si="4"/>
        <v>1.2857142857142858</v>
      </c>
    </row>
    <row r="272" spans="1:3" x14ac:dyDescent="0.35">
      <c r="A272" s="1">
        <v>42443</v>
      </c>
      <c r="B272">
        <f>COUNTIF(Overall!A:A, "2016-03-14")</f>
        <v>2</v>
      </c>
      <c r="C272" s="4">
        <f t="shared" si="4"/>
        <v>1.2857142857142858</v>
      </c>
    </row>
    <row r="273" spans="1:3" x14ac:dyDescent="0.35">
      <c r="A273" s="1">
        <v>42444</v>
      </c>
      <c r="B273">
        <f>COUNTIF(Overall!A:A, "2016-03-15")</f>
        <v>0</v>
      </c>
      <c r="C273" s="4">
        <f t="shared" si="4"/>
        <v>1.2857142857142858</v>
      </c>
    </row>
    <row r="274" spans="1:3" x14ac:dyDescent="0.35">
      <c r="A274" s="1">
        <v>42445</v>
      </c>
      <c r="B274">
        <f>COUNTIF(Overall!A:A, "2016-03-16")</f>
        <v>0</v>
      </c>
      <c r="C274" s="4">
        <f t="shared" si="4"/>
        <v>1.1428571428571428</v>
      </c>
    </row>
    <row r="275" spans="1:3" x14ac:dyDescent="0.35">
      <c r="A275" s="1">
        <v>42446</v>
      </c>
      <c r="B275">
        <f>COUNTIF(Overall!A:A, "2016-03-17")</f>
        <v>0</v>
      </c>
      <c r="C275" s="4">
        <f t="shared" si="4"/>
        <v>1.1428571428571428</v>
      </c>
    </row>
    <row r="276" spans="1:3" x14ac:dyDescent="0.35">
      <c r="A276" s="1">
        <v>42447</v>
      </c>
      <c r="B276">
        <f>COUNTIF(Overall!A:A, "2016-03-18")</f>
        <v>1</v>
      </c>
      <c r="C276" s="4">
        <f t="shared" si="4"/>
        <v>1.1428571428571428</v>
      </c>
    </row>
    <row r="277" spans="1:3" x14ac:dyDescent="0.35">
      <c r="A277" s="1">
        <v>42448</v>
      </c>
      <c r="B277">
        <f>COUNTIF(Overall!A:A, "2016-03-19")</f>
        <v>2</v>
      </c>
      <c r="C277" s="4">
        <f t="shared" si="4"/>
        <v>1</v>
      </c>
    </row>
    <row r="278" spans="1:3" x14ac:dyDescent="0.35">
      <c r="A278" s="1">
        <v>42449</v>
      </c>
      <c r="B278">
        <f>COUNTIF(Overall!A:A, "2016-03-20")</f>
        <v>0</v>
      </c>
      <c r="C278" s="4">
        <f t="shared" si="4"/>
        <v>0.7142857142857143</v>
      </c>
    </row>
    <row r="279" spans="1:3" x14ac:dyDescent="0.35">
      <c r="A279" s="1">
        <v>42450</v>
      </c>
      <c r="B279">
        <f>COUNTIF(Overall!A:A, "2016-03-21")</f>
        <v>0</v>
      </c>
      <c r="C279" s="4">
        <f t="shared" si="4"/>
        <v>0.42857142857142855</v>
      </c>
    </row>
    <row r="280" spans="1:3" x14ac:dyDescent="0.35">
      <c r="A280" s="1">
        <v>42451</v>
      </c>
      <c r="B280">
        <f>COUNTIF(Overall!A:A, "2016-03-22")</f>
        <v>0</v>
      </c>
      <c r="C280" s="4">
        <f t="shared" si="4"/>
        <v>0.42857142857142855</v>
      </c>
    </row>
    <row r="281" spans="1:3" x14ac:dyDescent="0.35">
      <c r="A281" s="1">
        <v>42452</v>
      </c>
      <c r="B281">
        <f>COUNTIF(Overall!A:A, "2016-03-23")</f>
        <v>0</v>
      </c>
      <c r="C281" s="4">
        <f t="shared" si="4"/>
        <v>0.42857142857142855</v>
      </c>
    </row>
    <row r="282" spans="1:3" x14ac:dyDescent="0.35">
      <c r="A282" s="1">
        <v>42453</v>
      </c>
      <c r="B282">
        <f>COUNTIF(Overall!A:A, "2016-03-24")</f>
        <v>0</v>
      </c>
      <c r="C282" s="4">
        <f t="shared" si="4"/>
        <v>0.42857142857142855</v>
      </c>
    </row>
    <row r="283" spans="1:3" x14ac:dyDescent="0.35">
      <c r="A283" s="1">
        <v>42454</v>
      </c>
      <c r="B283">
        <f>COUNTIF(Overall!A:A, "2016-03-25")</f>
        <v>0</v>
      </c>
      <c r="C283" s="4">
        <f t="shared" si="4"/>
        <v>0.2857142857142857</v>
      </c>
    </row>
    <row r="284" spans="1:3" x14ac:dyDescent="0.35">
      <c r="A284" s="1">
        <v>42455</v>
      </c>
      <c r="B284">
        <f>COUNTIF(Overall!A:A, "2016-03-26")</f>
        <v>0</v>
      </c>
      <c r="C284" s="4">
        <f t="shared" si="4"/>
        <v>0</v>
      </c>
    </row>
    <row r="285" spans="1:3" x14ac:dyDescent="0.35">
      <c r="A285" s="1">
        <v>42456</v>
      </c>
      <c r="B285">
        <f>COUNTIF(Overall!A:A, "2016-03-27")</f>
        <v>0</v>
      </c>
      <c r="C285" s="4">
        <f t="shared" si="4"/>
        <v>0</v>
      </c>
    </row>
    <row r="286" spans="1:3" x14ac:dyDescent="0.35">
      <c r="A286" s="1">
        <v>42457</v>
      </c>
      <c r="B286">
        <f>COUNTIF(Overall!A:A, "2016-03-28")</f>
        <v>0</v>
      </c>
      <c r="C286" s="4">
        <f t="shared" si="4"/>
        <v>0</v>
      </c>
    </row>
    <row r="287" spans="1:3" x14ac:dyDescent="0.35">
      <c r="A287" s="1">
        <v>42458</v>
      </c>
      <c r="B287">
        <f>COUNTIF(Overall!A:A, "2016-03-29")</f>
        <v>1</v>
      </c>
      <c r="C287" s="4">
        <f t="shared" si="4"/>
        <v>0.14285714285714285</v>
      </c>
    </row>
    <row r="288" spans="1:3" x14ac:dyDescent="0.35">
      <c r="A288" s="1">
        <v>42459</v>
      </c>
      <c r="B288">
        <f>COUNTIF(Overall!A:A, "2016-03-30")</f>
        <v>2</v>
      </c>
      <c r="C288" s="4">
        <f t="shared" si="4"/>
        <v>0.42857142857142855</v>
      </c>
    </row>
    <row r="289" spans="1:3" x14ac:dyDescent="0.35">
      <c r="A289" s="1">
        <v>42460</v>
      </c>
      <c r="B289">
        <f>COUNTIF(Overall!A:A, "2016-03-31")</f>
        <v>0</v>
      </c>
      <c r="C289" s="4">
        <f t="shared" si="4"/>
        <v>0.42857142857142855</v>
      </c>
    </row>
    <row r="290" spans="1:3" x14ac:dyDescent="0.35">
      <c r="A290" s="1">
        <v>42461</v>
      </c>
      <c r="B290">
        <f>COUNTIF(Overall!A:A, "2016-04-01")</f>
        <v>0</v>
      </c>
      <c r="C290" s="4">
        <f t="shared" si="4"/>
        <v>0.42857142857142855</v>
      </c>
    </row>
    <row r="291" spans="1:3" x14ac:dyDescent="0.35">
      <c r="A291" s="1">
        <v>42462</v>
      </c>
      <c r="B291">
        <f>COUNTIF(Overall!A:A, "2016-04-02")</f>
        <v>3</v>
      </c>
      <c r="C291" s="4">
        <f t="shared" si="4"/>
        <v>0.8571428571428571</v>
      </c>
    </row>
    <row r="292" spans="1:3" x14ac:dyDescent="0.35">
      <c r="A292" s="1">
        <v>42463</v>
      </c>
      <c r="B292">
        <f>COUNTIF(Overall!A:A, "2016-04-03")</f>
        <v>1</v>
      </c>
      <c r="C292" s="4">
        <f t="shared" si="4"/>
        <v>1</v>
      </c>
    </row>
    <row r="293" spans="1:3" x14ac:dyDescent="0.35">
      <c r="A293" s="1">
        <v>42464</v>
      </c>
      <c r="B293">
        <f>COUNTIF(Overall!A:A, "2016-04-04")</f>
        <v>3</v>
      </c>
      <c r="C293" s="4">
        <f t="shared" si="4"/>
        <v>1.4285714285714286</v>
      </c>
    </row>
    <row r="294" spans="1:3" x14ac:dyDescent="0.35">
      <c r="A294" s="1">
        <v>42465</v>
      </c>
      <c r="B294">
        <f>COUNTIF(Overall!A:A, "2016-04-05")</f>
        <v>0</v>
      </c>
      <c r="C294" s="4">
        <f t="shared" si="4"/>
        <v>1.2857142857142858</v>
      </c>
    </row>
    <row r="295" spans="1:3" x14ac:dyDescent="0.35">
      <c r="A295" s="1">
        <v>42466</v>
      </c>
      <c r="B295">
        <f>COUNTIF(Overall!A:A, "2016-04-06")</f>
        <v>1</v>
      </c>
      <c r="C295" s="4">
        <f t="shared" si="4"/>
        <v>1.1428571428571428</v>
      </c>
    </row>
    <row r="296" spans="1:3" x14ac:dyDescent="0.35">
      <c r="A296" s="1">
        <v>42467</v>
      </c>
      <c r="B296">
        <f>COUNTIF(Overall!A:A, "2016-04-07")</f>
        <v>0</v>
      </c>
      <c r="C296" s="4">
        <f t="shared" si="4"/>
        <v>1.1428571428571428</v>
      </c>
    </row>
    <row r="297" spans="1:3" x14ac:dyDescent="0.35">
      <c r="A297" s="1">
        <v>42468</v>
      </c>
      <c r="B297">
        <f>COUNTIF(Overall!A:A, "2016-04-08")</f>
        <v>0</v>
      </c>
      <c r="C297" s="4">
        <f t="shared" si="4"/>
        <v>1.1428571428571428</v>
      </c>
    </row>
    <row r="298" spans="1:3" x14ac:dyDescent="0.35">
      <c r="A298" s="1">
        <v>42469</v>
      </c>
      <c r="B298">
        <f>COUNTIF(Overall!A:A, "2016-04-09")</f>
        <v>0</v>
      </c>
      <c r="C298" s="4">
        <f t="shared" si="4"/>
        <v>0.7142857142857143</v>
      </c>
    </row>
    <row r="299" spans="1:3" x14ac:dyDescent="0.35">
      <c r="A299" s="1">
        <v>42470</v>
      </c>
      <c r="B299">
        <f>COUNTIF(Overall!A:A, "2016-04-10")</f>
        <v>1</v>
      </c>
      <c r="C299" s="4">
        <f t="shared" si="4"/>
        <v>0.7142857142857143</v>
      </c>
    </row>
    <row r="300" spans="1:3" x14ac:dyDescent="0.35">
      <c r="A300" s="1">
        <v>42471</v>
      </c>
      <c r="B300">
        <f>COUNTIF(Overall!A:A, "2016-04-11")</f>
        <v>1</v>
      </c>
      <c r="C300" s="4">
        <f t="shared" si="4"/>
        <v>0.42857142857142855</v>
      </c>
    </row>
    <row r="301" spans="1:3" x14ac:dyDescent="0.35">
      <c r="A301" s="1">
        <v>42472</v>
      </c>
      <c r="B301">
        <f>COUNTIF(Overall!A:A, "2016-04-12")</f>
        <v>1</v>
      </c>
      <c r="C301" s="4">
        <f t="shared" si="4"/>
        <v>0.5714285714285714</v>
      </c>
    </row>
    <row r="302" spans="1:3" x14ac:dyDescent="0.35">
      <c r="A302" s="1">
        <v>42473</v>
      </c>
      <c r="B302">
        <f>COUNTIF(Overall!A:A, "2016-04-13")</f>
        <v>1</v>
      </c>
      <c r="C302" s="4">
        <f t="shared" si="4"/>
        <v>0.5714285714285714</v>
      </c>
    </row>
    <row r="303" spans="1:3" x14ac:dyDescent="0.35">
      <c r="A303" s="1">
        <v>42474</v>
      </c>
      <c r="B303">
        <f>COUNTIF(Overall!A:A, "2016-04-14")</f>
        <v>0</v>
      </c>
      <c r="C303" s="4">
        <f t="shared" si="4"/>
        <v>0.5714285714285714</v>
      </c>
    </row>
    <row r="304" spans="1:3" x14ac:dyDescent="0.35">
      <c r="A304" s="1">
        <v>42475</v>
      </c>
      <c r="B304">
        <f>COUNTIF(Overall!A:A, "2016-04-15")</f>
        <v>2</v>
      </c>
      <c r="C304" s="4">
        <f t="shared" si="4"/>
        <v>0.8571428571428571</v>
      </c>
    </row>
    <row r="305" spans="1:3" x14ac:dyDescent="0.35">
      <c r="A305" s="1">
        <v>42476</v>
      </c>
      <c r="B305">
        <f>COUNTIF(Overall!A:A, "2016-04-16")</f>
        <v>2</v>
      </c>
      <c r="C305" s="4">
        <f t="shared" si="4"/>
        <v>1.1428571428571428</v>
      </c>
    </row>
    <row r="306" spans="1:3" x14ac:dyDescent="0.35">
      <c r="A306" s="1">
        <v>42477</v>
      </c>
      <c r="B306">
        <f>COUNTIF(Overall!A:A, "2016-04-17")</f>
        <v>1</v>
      </c>
      <c r="C306" s="4">
        <f t="shared" si="4"/>
        <v>1.1428571428571428</v>
      </c>
    </row>
    <row r="307" spans="1:3" x14ac:dyDescent="0.35">
      <c r="A307" s="1">
        <v>42478</v>
      </c>
      <c r="B307">
        <f>COUNTIF(Overall!A:A, "2016-04-18")</f>
        <v>1</v>
      </c>
      <c r="C307" s="4">
        <f t="shared" si="4"/>
        <v>1.1428571428571428</v>
      </c>
    </row>
    <row r="308" spans="1:3" x14ac:dyDescent="0.35">
      <c r="A308" s="1">
        <v>42479</v>
      </c>
      <c r="B308">
        <f>COUNTIF(Overall!A:A, "2016-04-19")</f>
        <v>0</v>
      </c>
      <c r="C308" s="4">
        <f t="shared" si="4"/>
        <v>1</v>
      </c>
    </row>
    <row r="309" spans="1:3" x14ac:dyDescent="0.35">
      <c r="A309" s="1">
        <v>42480</v>
      </c>
      <c r="B309">
        <f>COUNTIF(Overall!A:A, "2016-04-20")</f>
        <v>2</v>
      </c>
      <c r="C309" s="4">
        <f t="shared" si="4"/>
        <v>1.1428571428571428</v>
      </c>
    </row>
    <row r="310" spans="1:3" x14ac:dyDescent="0.35">
      <c r="A310" s="1">
        <v>42481</v>
      </c>
      <c r="B310">
        <f>COUNTIF(Overall!A:A, "2016-04-21")</f>
        <v>1</v>
      </c>
      <c r="C310" s="4">
        <f t="shared" si="4"/>
        <v>1.2857142857142858</v>
      </c>
    </row>
    <row r="311" spans="1:3" x14ac:dyDescent="0.35">
      <c r="A311" s="1">
        <v>42482</v>
      </c>
      <c r="B311">
        <f>COUNTIF(Overall!A:A, "2016-04-22")</f>
        <v>1</v>
      </c>
      <c r="C311" s="4">
        <f t="shared" si="4"/>
        <v>1.1428571428571428</v>
      </c>
    </row>
    <row r="312" spans="1:3" x14ac:dyDescent="0.35">
      <c r="A312" s="1">
        <v>42483</v>
      </c>
      <c r="B312">
        <f>COUNTIF(Overall!A:A, "2016-04-23")</f>
        <v>2</v>
      </c>
      <c r="C312" s="4">
        <f t="shared" si="4"/>
        <v>1.1428571428571428</v>
      </c>
    </row>
    <row r="313" spans="1:3" x14ac:dyDescent="0.35">
      <c r="A313" s="1">
        <v>42484</v>
      </c>
      <c r="B313">
        <f>COUNTIF(Overall!A:A, "2016-04-24")</f>
        <v>1</v>
      </c>
      <c r="C313" s="4">
        <f t="shared" si="4"/>
        <v>1.1428571428571428</v>
      </c>
    </row>
    <row r="314" spans="1:3" x14ac:dyDescent="0.35">
      <c r="A314" s="1">
        <v>42485</v>
      </c>
      <c r="B314">
        <f>COUNTIF(Overall!A:A, "2016-04-25")</f>
        <v>3</v>
      </c>
      <c r="C314" s="4">
        <f t="shared" si="4"/>
        <v>1.4285714285714286</v>
      </c>
    </row>
    <row r="315" spans="1:3" x14ac:dyDescent="0.35">
      <c r="A315" s="1">
        <v>42486</v>
      </c>
      <c r="B315">
        <f>COUNTIF(Overall!A:A, "2016-04-26")</f>
        <v>0</v>
      </c>
      <c r="C315" s="4">
        <f t="shared" si="4"/>
        <v>1.4285714285714286</v>
      </c>
    </row>
    <row r="316" spans="1:3" x14ac:dyDescent="0.35">
      <c r="A316" s="1">
        <v>42487</v>
      </c>
      <c r="B316">
        <f>COUNTIF(Overall!A:A, "2016-04-27")</f>
        <v>1</v>
      </c>
      <c r="C316" s="4">
        <f t="shared" si="4"/>
        <v>1.2857142857142858</v>
      </c>
    </row>
    <row r="317" spans="1:3" x14ac:dyDescent="0.35">
      <c r="A317" s="1">
        <v>42488</v>
      </c>
      <c r="B317">
        <f>COUNTIF(Overall!A:A, "2016-04-28")</f>
        <v>2</v>
      </c>
      <c r="C317" s="4">
        <f t="shared" si="4"/>
        <v>1.4285714285714286</v>
      </c>
    </row>
    <row r="318" spans="1:3" x14ac:dyDescent="0.35">
      <c r="A318" s="1">
        <v>42489</v>
      </c>
      <c r="B318">
        <f>COUNTIF(Overall!A:A, "2016-04-29")</f>
        <v>0</v>
      </c>
      <c r="C318" s="4">
        <f t="shared" si="4"/>
        <v>1.2857142857142858</v>
      </c>
    </row>
    <row r="319" spans="1:3" x14ac:dyDescent="0.35">
      <c r="A319" s="1">
        <v>42490</v>
      </c>
      <c r="B319">
        <f>COUNTIF(Overall!A:A, "2016-04-30")</f>
        <v>0</v>
      </c>
      <c r="C319" s="4">
        <f t="shared" si="4"/>
        <v>1</v>
      </c>
    </row>
    <row r="320" spans="1:3" x14ac:dyDescent="0.35">
      <c r="A320" s="1">
        <v>42491</v>
      </c>
      <c r="B320">
        <f>COUNTIF(Overall!A:A, "2016-05-01")</f>
        <v>2</v>
      </c>
      <c r="C320" s="4">
        <f t="shared" si="4"/>
        <v>1.1428571428571428</v>
      </c>
    </row>
    <row r="321" spans="1:3" x14ac:dyDescent="0.35">
      <c r="A321" s="1">
        <v>42492</v>
      </c>
      <c r="B321">
        <f>COUNTIF(Overall!A:A, "2016-05-02")</f>
        <v>2</v>
      </c>
      <c r="C321" s="4">
        <f t="shared" si="4"/>
        <v>1</v>
      </c>
    </row>
    <row r="322" spans="1:3" x14ac:dyDescent="0.35">
      <c r="A322" s="1">
        <v>42493</v>
      </c>
      <c r="B322">
        <f>COUNTIF(Overall!A:A, "2016-05-03")</f>
        <v>0</v>
      </c>
      <c r="C322" s="4">
        <f t="shared" si="4"/>
        <v>1</v>
      </c>
    </row>
    <row r="323" spans="1:3" x14ac:dyDescent="0.35">
      <c r="A323" s="1">
        <v>42494</v>
      </c>
      <c r="B323">
        <f>COUNTIF(Overall!A:A, "2016-05-04")</f>
        <v>0</v>
      </c>
      <c r="C323" s="4">
        <f t="shared" si="4"/>
        <v>0.8571428571428571</v>
      </c>
    </row>
    <row r="324" spans="1:3" x14ac:dyDescent="0.35">
      <c r="A324" s="1">
        <v>42495</v>
      </c>
      <c r="B324">
        <f>COUNTIF(Overall!A:A, "2016-05-05")</f>
        <v>1</v>
      </c>
      <c r="C324" s="4">
        <f t="shared" si="4"/>
        <v>0.7142857142857143</v>
      </c>
    </row>
    <row r="325" spans="1:3" x14ac:dyDescent="0.35">
      <c r="A325" s="1">
        <v>42496</v>
      </c>
      <c r="B325">
        <f>COUNTIF(Overall!A:A, "2016-05-06")</f>
        <v>2</v>
      </c>
      <c r="C325" s="4">
        <f t="shared" si="4"/>
        <v>1</v>
      </c>
    </row>
    <row r="326" spans="1:3" x14ac:dyDescent="0.35">
      <c r="A326" s="1">
        <v>42497</v>
      </c>
      <c r="B326">
        <f>COUNTIF(Overall!A:A, "2016-05-07")</f>
        <v>2</v>
      </c>
      <c r="C326" s="4">
        <f t="shared" si="4"/>
        <v>1.2857142857142858</v>
      </c>
    </row>
    <row r="327" spans="1:3" x14ac:dyDescent="0.35">
      <c r="A327" s="1">
        <v>42498</v>
      </c>
      <c r="B327">
        <f>COUNTIF(Overall!A:A, "2016-05-08")</f>
        <v>0</v>
      </c>
      <c r="C327" s="4">
        <f t="shared" si="4"/>
        <v>1</v>
      </c>
    </row>
    <row r="328" spans="1:3" x14ac:dyDescent="0.35">
      <c r="A328" s="1">
        <v>42499</v>
      </c>
      <c r="B328">
        <f>COUNTIF(Overall!A:A, "2016-05-09")</f>
        <v>0</v>
      </c>
      <c r="C328" s="4">
        <f t="shared" ref="C328:C391" si="5">AVERAGE(B322:B328)</f>
        <v>0.7142857142857143</v>
      </c>
    </row>
    <row r="329" spans="1:3" x14ac:dyDescent="0.35">
      <c r="A329" s="1">
        <v>42500</v>
      </c>
      <c r="B329">
        <f>COUNTIF(Overall!A:A, "2016-05-10")</f>
        <v>0</v>
      </c>
      <c r="C329" s="4">
        <f t="shared" si="5"/>
        <v>0.7142857142857143</v>
      </c>
    </row>
    <row r="330" spans="1:3" x14ac:dyDescent="0.35">
      <c r="A330" s="1">
        <v>42501</v>
      </c>
      <c r="B330">
        <f>COUNTIF(Overall!A:A, "2016-05-11")</f>
        <v>0</v>
      </c>
      <c r="C330" s="4">
        <f t="shared" si="5"/>
        <v>0.7142857142857143</v>
      </c>
    </row>
    <row r="331" spans="1:3" x14ac:dyDescent="0.35">
      <c r="A331" s="1">
        <v>42502</v>
      </c>
      <c r="B331">
        <f>COUNTIF(Overall!A:A, "2016-05-12")</f>
        <v>0</v>
      </c>
      <c r="C331" s="4">
        <f t="shared" si="5"/>
        <v>0.5714285714285714</v>
      </c>
    </row>
    <row r="332" spans="1:3" x14ac:dyDescent="0.35">
      <c r="A332" s="1">
        <v>42503</v>
      </c>
      <c r="B332">
        <f>COUNTIF(Overall!A:A, "2016-05-13")</f>
        <v>0</v>
      </c>
      <c r="C332" s="4">
        <f t="shared" si="5"/>
        <v>0.2857142857142857</v>
      </c>
    </row>
    <row r="333" spans="1:3" x14ac:dyDescent="0.35">
      <c r="A333" s="1">
        <v>42504</v>
      </c>
      <c r="B333">
        <f>COUNTIF(Overall!A:A, "2016-05-14")</f>
        <v>0</v>
      </c>
      <c r="C333" s="4">
        <f t="shared" si="5"/>
        <v>0</v>
      </c>
    </row>
    <row r="334" spans="1:3" x14ac:dyDescent="0.35">
      <c r="A334" s="1">
        <v>42505</v>
      </c>
      <c r="B334">
        <f>COUNTIF(Overall!A:A, "2016-05-15")</f>
        <v>0</v>
      </c>
      <c r="C334" s="4">
        <f t="shared" si="5"/>
        <v>0</v>
      </c>
    </row>
    <row r="335" spans="1:3" x14ac:dyDescent="0.35">
      <c r="A335" s="1">
        <v>42506</v>
      </c>
      <c r="B335">
        <f>COUNTIF(Overall!A:A, "2016-05-16")</f>
        <v>0</v>
      </c>
      <c r="C335" s="4">
        <f t="shared" si="5"/>
        <v>0</v>
      </c>
    </row>
    <row r="336" spans="1:3" x14ac:dyDescent="0.35">
      <c r="A336" s="1">
        <v>42507</v>
      </c>
      <c r="B336">
        <f>COUNTIF(Overall!A:A, "2016-05-17")</f>
        <v>0</v>
      </c>
      <c r="C336" s="4">
        <f t="shared" si="5"/>
        <v>0</v>
      </c>
    </row>
    <row r="337" spans="1:3" x14ac:dyDescent="0.35">
      <c r="A337" s="1">
        <v>42508</v>
      </c>
      <c r="B337">
        <f>COUNTIF(Overall!A:A, "2016-05-18")</f>
        <v>0</v>
      </c>
      <c r="C337" s="4">
        <f t="shared" si="5"/>
        <v>0</v>
      </c>
    </row>
    <row r="338" spans="1:3" x14ac:dyDescent="0.35">
      <c r="A338" s="1">
        <v>42509</v>
      </c>
      <c r="B338">
        <f>COUNTIF(Overall!A:A, "2016-05-19")</f>
        <v>0</v>
      </c>
      <c r="C338" s="4">
        <f t="shared" si="5"/>
        <v>0</v>
      </c>
    </row>
    <row r="339" spans="1:3" x14ac:dyDescent="0.35">
      <c r="A339" s="1">
        <v>42510</v>
      </c>
      <c r="B339">
        <f>COUNTIF(Overall!A:A, "2016-05-20")</f>
        <v>0</v>
      </c>
      <c r="C339" s="4">
        <f t="shared" si="5"/>
        <v>0</v>
      </c>
    </row>
    <row r="340" spans="1:3" x14ac:dyDescent="0.35">
      <c r="A340" s="1">
        <v>42511</v>
      </c>
      <c r="B340">
        <f>COUNTIF(Overall!A:A, "2016-05-21")</f>
        <v>0</v>
      </c>
      <c r="C340" s="4">
        <f t="shared" si="5"/>
        <v>0</v>
      </c>
    </row>
    <row r="341" spans="1:3" x14ac:dyDescent="0.35">
      <c r="A341" s="1">
        <v>42512</v>
      </c>
      <c r="B341">
        <f>COUNTIF(Overall!A:A, "2016-05-22")</f>
        <v>0</v>
      </c>
      <c r="C341" s="4">
        <f t="shared" si="5"/>
        <v>0</v>
      </c>
    </row>
    <row r="342" spans="1:3" x14ac:dyDescent="0.35">
      <c r="A342" s="1">
        <v>42513</v>
      </c>
      <c r="B342">
        <f>COUNTIF(Overall!A:A, "2016-05-23")</f>
        <v>0</v>
      </c>
      <c r="C342" s="4">
        <f t="shared" si="5"/>
        <v>0</v>
      </c>
    </row>
    <row r="343" spans="1:3" x14ac:dyDescent="0.35">
      <c r="A343" s="1">
        <v>42514</v>
      </c>
      <c r="B343">
        <f>COUNTIF(Overall!A:A, "2016-05-24")</f>
        <v>1</v>
      </c>
      <c r="C343" s="4">
        <f t="shared" si="5"/>
        <v>0.14285714285714285</v>
      </c>
    </row>
    <row r="344" spans="1:3" x14ac:dyDescent="0.35">
      <c r="A344" s="1">
        <v>42515</v>
      </c>
      <c r="B344">
        <f>COUNTIF(Overall!A:A, "2016-05-25")</f>
        <v>1</v>
      </c>
      <c r="C344" s="4">
        <f t="shared" si="5"/>
        <v>0.2857142857142857</v>
      </c>
    </row>
    <row r="345" spans="1:3" x14ac:dyDescent="0.35">
      <c r="A345" s="1">
        <v>42516</v>
      </c>
      <c r="B345">
        <f>COUNTIF(Overall!A:A, "2016-05-206")</f>
        <v>0</v>
      </c>
      <c r="C345" s="4">
        <f t="shared" si="5"/>
        <v>0.2857142857142857</v>
      </c>
    </row>
    <row r="346" spans="1:3" x14ac:dyDescent="0.35">
      <c r="A346" s="1">
        <v>42517</v>
      </c>
      <c r="B346">
        <f>COUNTIF(Overall!A:A, "2016-05-27")</f>
        <v>2</v>
      </c>
      <c r="C346" s="4">
        <f t="shared" si="5"/>
        <v>0.5714285714285714</v>
      </c>
    </row>
    <row r="347" spans="1:3" x14ac:dyDescent="0.35">
      <c r="A347" s="1">
        <v>42518</v>
      </c>
      <c r="B347">
        <f>COUNTIF(Overall!A:A, "2016-05-28")</f>
        <v>0</v>
      </c>
      <c r="C347" s="4">
        <f t="shared" si="5"/>
        <v>0.5714285714285714</v>
      </c>
    </row>
    <row r="348" spans="1:3" x14ac:dyDescent="0.35">
      <c r="A348" s="1">
        <v>42519</v>
      </c>
      <c r="B348">
        <f>COUNTIF(Overall!A:A, "2016-05-29")</f>
        <v>0</v>
      </c>
      <c r="C348" s="4">
        <f t="shared" si="5"/>
        <v>0.5714285714285714</v>
      </c>
    </row>
    <row r="349" spans="1:3" x14ac:dyDescent="0.35">
      <c r="A349" s="1">
        <v>42520</v>
      </c>
      <c r="B349">
        <f>COUNTIF(Overall!A:A, "2016-05-30")</f>
        <v>0</v>
      </c>
      <c r="C349" s="4">
        <f t="shared" si="5"/>
        <v>0.5714285714285714</v>
      </c>
    </row>
    <row r="350" spans="1:3" x14ac:dyDescent="0.35">
      <c r="A350" s="1">
        <v>42521</v>
      </c>
      <c r="B350">
        <f>COUNTIF(Overall!A:A, "2016-05-31")</f>
        <v>0</v>
      </c>
      <c r="C350" s="4">
        <f t="shared" si="5"/>
        <v>0.42857142857142855</v>
      </c>
    </row>
    <row r="351" spans="1:3" x14ac:dyDescent="0.35">
      <c r="A351" s="1">
        <v>42522</v>
      </c>
      <c r="B351">
        <f>COUNTIF(Overall!A:A, "2016-06-01")</f>
        <v>1</v>
      </c>
      <c r="C351" s="4">
        <f t="shared" si="5"/>
        <v>0.42857142857142855</v>
      </c>
    </row>
    <row r="352" spans="1:3" x14ac:dyDescent="0.35">
      <c r="A352" s="1">
        <v>42523</v>
      </c>
      <c r="B352">
        <f>COUNTIF(Overall!A:A, "2016-06-02")</f>
        <v>1</v>
      </c>
      <c r="C352" s="4">
        <f t="shared" si="5"/>
        <v>0.5714285714285714</v>
      </c>
    </row>
    <row r="353" spans="1:3" x14ac:dyDescent="0.35">
      <c r="A353" s="1">
        <v>42524</v>
      </c>
      <c r="B353">
        <f>COUNTIF(Overall!A:A, "2016-06-03")</f>
        <v>1</v>
      </c>
      <c r="C353" s="4">
        <f t="shared" si="5"/>
        <v>0.42857142857142855</v>
      </c>
    </row>
    <row r="354" spans="1:3" x14ac:dyDescent="0.35">
      <c r="A354" s="1">
        <v>42525</v>
      </c>
      <c r="B354">
        <f>COUNTIF(Overall!A:A, "2016-06-04")</f>
        <v>0</v>
      </c>
      <c r="C354" s="4">
        <f t="shared" si="5"/>
        <v>0.42857142857142855</v>
      </c>
    </row>
    <row r="355" spans="1:3" x14ac:dyDescent="0.35">
      <c r="A355" s="1">
        <v>42526</v>
      </c>
      <c r="B355">
        <f>COUNTIF(Overall!A:A, "2016-06-05")</f>
        <v>0</v>
      </c>
      <c r="C355" s="4">
        <f t="shared" si="5"/>
        <v>0.42857142857142855</v>
      </c>
    </row>
    <row r="356" spans="1:3" x14ac:dyDescent="0.35">
      <c r="A356" s="1">
        <v>42527</v>
      </c>
      <c r="B356">
        <f>COUNTIF(Overall!A:A, "2016-06-06")</f>
        <v>0</v>
      </c>
      <c r="C356" s="4">
        <f t="shared" si="5"/>
        <v>0.42857142857142855</v>
      </c>
    </row>
    <row r="357" spans="1:3" x14ac:dyDescent="0.35">
      <c r="A357" s="1">
        <v>42528</v>
      </c>
      <c r="B357">
        <f>COUNTIF(Overall!A:A, "2016-06-07")</f>
        <v>0</v>
      </c>
      <c r="C357" s="4">
        <f t="shared" si="5"/>
        <v>0.42857142857142855</v>
      </c>
    </row>
    <row r="358" spans="1:3" x14ac:dyDescent="0.35">
      <c r="A358" s="1">
        <v>42529</v>
      </c>
      <c r="B358">
        <f>COUNTIF(Overall!A:A, "2016-06-08")</f>
        <v>0</v>
      </c>
      <c r="C358" s="4">
        <f t="shared" si="5"/>
        <v>0.2857142857142857</v>
      </c>
    </row>
    <row r="359" spans="1:3" x14ac:dyDescent="0.35">
      <c r="A359" s="1">
        <v>42530</v>
      </c>
      <c r="B359">
        <f>COUNTIF(Overall!A:A, "2016-06-09")</f>
        <v>0</v>
      </c>
      <c r="C359" s="4">
        <f t="shared" si="5"/>
        <v>0.14285714285714285</v>
      </c>
    </row>
    <row r="360" spans="1:3" x14ac:dyDescent="0.35">
      <c r="A360" s="1">
        <v>42531</v>
      </c>
      <c r="B360">
        <f>COUNTIF(Overall!A:A, "2016-06-10")</f>
        <v>1</v>
      </c>
      <c r="C360" s="4">
        <f t="shared" si="5"/>
        <v>0.14285714285714285</v>
      </c>
    </row>
    <row r="361" spans="1:3" x14ac:dyDescent="0.35">
      <c r="A361" s="1">
        <v>42532</v>
      </c>
      <c r="B361">
        <f>COUNTIF(Overall!A:A, "2016-06-11")</f>
        <v>2</v>
      </c>
      <c r="C361" s="4">
        <f t="shared" si="5"/>
        <v>0.42857142857142855</v>
      </c>
    </row>
    <row r="362" spans="1:3" x14ac:dyDescent="0.35">
      <c r="A362" s="1">
        <v>42533</v>
      </c>
      <c r="B362">
        <f>COUNTIF(Overall!A:A, "2016-06-12")</f>
        <v>0</v>
      </c>
      <c r="C362" s="4">
        <f t="shared" si="5"/>
        <v>0.42857142857142855</v>
      </c>
    </row>
    <row r="363" spans="1:3" x14ac:dyDescent="0.35">
      <c r="A363" s="1">
        <v>42534</v>
      </c>
      <c r="B363">
        <f>COUNTIF(Overall!A:A, "2016-06-103")</f>
        <v>0</v>
      </c>
      <c r="C363" s="4">
        <f t="shared" si="5"/>
        <v>0.42857142857142855</v>
      </c>
    </row>
    <row r="364" spans="1:3" x14ac:dyDescent="0.35">
      <c r="A364" s="1">
        <v>42535</v>
      </c>
      <c r="B364">
        <f>COUNTIF(Overall!A:A, "2016-06-15")</f>
        <v>1</v>
      </c>
      <c r="C364" s="4">
        <f t="shared" si="5"/>
        <v>0.5714285714285714</v>
      </c>
    </row>
    <row r="365" spans="1:3" x14ac:dyDescent="0.35">
      <c r="A365" s="1">
        <v>42536</v>
      </c>
      <c r="B365">
        <f>COUNTIF(Overall!A:A, "2016-06-16")</f>
        <v>2</v>
      </c>
      <c r="C365" s="4">
        <f t="shared" si="5"/>
        <v>0.8571428571428571</v>
      </c>
    </row>
    <row r="366" spans="1:3" x14ac:dyDescent="0.35">
      <c r="A366" s="1">
        <v>42537</v>
      </c>
      <c r="B366">
        <f>COUNTIF(Overall!A:A, "2016-06-17")</f>
        <v>0</v>
      </c>
      <c r="C366" s="4">
        <f t="shared" si="5"/>
        <v>0.8571428571428571</v>
      </c>
    </row>
    <row r="367" spans="1:3" x14ac:dyDescent="0.35">
      <c r="A367" s="1">
        <v>42538</v>
      </c>
      <c r="B367">
        <f>COUNTIF(Overall!A:A, "2016-06-18")</f>
        <v>2</v>
      </c>
      <c r="C367" s="4">
        <f t="shared" si="5"/>
        <v>1</v>
      </c>
    </row>
    <row r="368" spans="1:3" x14ac:dyDescent="0.35">
      <c r="A368" s="1">
        <v>42539</v>
      </c>
      <c r="B368">
        <f>COUNTIF(Overall!A:A, "2016-06-19")</f>
        <v>0</v>
      </c>
      <c r="C368" s="4">
        <f t="shared" si="5"/>
        <v>0.7142857142857143</v>
      </c>
    </row>
    <row r="369" spans="1:3" x14ac:dyDescent="0.35">
      <c r="A369" s="1">
        <v>42540</v>
      </c>
      <c r="B369">
        <f>COUNTIF(Overall!A:A, "2016-06-20")</f>
        <v>0</v>
      </c>
      <c r="C369" s="4">
        <f t="shared" si="5"/>
        <v>0.7142857142857143</v>
      </c>
    </row>
    <row r="370" spans="1:3" x14ac:dyDescent="0.35">
      <c r="A370" s="1">
        <v>42541</v>
      </c>
      <c r="B370">
        <f>COUNTIF(Overall!A:A, "2016-06-20")</f>
        <v>0</v>
      </c>
      <c r="C370" s="4">
        <f t="shared" si="5"/>
        <v>0.7142857142857143</v>
      </c>
    </row>
    <row r="371" spans="1:3" x14ac:dyDescent="0.35">
      <c r="A371" s="1">
        <v>42542</v>
      </c>
      <c r="B371">
        <f>COUNTIF(Overall!A:A, "2016-06-21")</f>
        <v>0</v>
      </c>
      <c r="C371" s="4">
        <f t="shared" si="5"/>
        <v>0.5714285714285714</v>
      </c>
    </row>
    <row r="372" spans="1:3" x14ac:dyDescent="0.35">
      <c r="A372" s="1">
        <v>42543</v>
      </c>
      <c r="B372">
        <f>COUNTIF(Overall!A:A, "2016-06-22")</f>
        <v>0</v>
      </c>
      <c r="C372" s="4">
        <f t="shared" si="5"/>
        <v>0.2857142857142857</v>
      </c>
    </row>
    <row r="373" spans="1:3" x14ac:dyDescent="0.35">
      <c r="A373" s="1">
        <v>42544</v>
      </c>
      <c r="B373">
        <f>COUNTIF(Overall!A:A, "2016-06-23")</f>
        <v>0</v>
      </c>
      <c r="C373" s="4">
        <f t="shared" si="5"/>
        <v>0.2857142857142857</v>
      </c>
    </row>
    <row r="374" spans="1:3" x14ac:dyDescent="0.35">
      <c r="A374" s="1">
        <v>42545</v>
      </c>
      <c r="B374">
        <f>COUNTIF(Overall!A:A, "2016-06-24")</f>
        <v>0</v>
      </c>
      <c r="C374" s="4">
        <f t="shared" si="5"/>
        <v>0</v>
      </c>
    </row>
    <row r="375" spans="1:3" x14ac:dyDescent="0.35">
      <c r="A375" s="1">
        <v>42546</v>
      </c>
      <c r="B375">
        <f>COUNTIF(Overall!A:A, "2016-06-25")</f>
        <v>0</v>
      </c>
      <c r="C375" s="4">
        <f t="shared" si="5"/>
        <v>0</v>
      </c>
    </row>
    <row r="376" spans="1:3" x14ac:dyDescent="0.35">
      <c r="A376" s="1">
        <v>42547</v>
      </c>
      <c r="B376">
        <f>COUNTIF(Overall!A:A, "2016-06-206")</f>
        <v>0</v>
      </c>
      <c r="C376" s="4">
        <f t="shared" si="5"/>
        <v>0</v>
      </c>
    </row>
    <row r="377" spans="1:3" x14ac:dyDescent="0.35">
      <c r="A377" s="1">
        <v>42548</v>
      </c>
      <c r="B377">
        <f>COUNTIF(Overall!A:A, "2016-06-27")</f>
        <v>0</v>
      </c>
      <c r="C377" s="4">
        <f t="shared" si="5"/>
        <v>0</v>
      </c>
    </row>
    <row r="378" spans="1:3" x14ac:dyDescent="0.35">
      <c r="A378" s="1">
        <v>42549</v>
      </c>
      <c r="B378">
        <f>COUNTIF(Overall!A:A, "2016-06-28")</f>
        <v>1</v>
      </c>
      <c r="C378" s="4">
        <f t="shared" si="5"/>
        <v>0.14285714285714285</v>
      </c>
    </row>
    <row r="379" spans="1:3" x14ac:dyDescent="0.35">
      <c r="A379" s="1">
        <v>42550</v>
      </c>
      <c r="B379">
        <f>COUNTIF(Overall!A:A, "2016-06-29")</f>
        <v>1</v>
      </c>
      <c r="C379" s="4">
        <f t="shared" si="5"/>
        <v>0.2857142857142857</v>
      </c>
    </row>
    <row r="380" spans="1:3" x14ac:dyDescent="0.35">
      <c r="A380" s="1">
        <v>42551</v>
      </c>
      <c r="B380">
        <f>COUNTIF(Overall!A:A, "2016-06-30")</f>
        <v>0</v>
      </c>
      <c r="C380" s="4">
        <f t="shared" si="5"/>
        <v>0.2857142857142857</v>
      </c>
    </row>
    <row r="381" spans="1:3" x14ac:dyDescent="0.35">
      <c r="A381" s="1">
        <v>42552</v>
      </c>
      <c r="B381">
        <f>COUNTIF(Overall!A:A, "2016-07-01")</f>
        <v>0</v>
      </c>
      <c r="C381" s="4">
        <f t="shared" si="5"/>
        <v>0.2857142857142857</v>
      </c>
    </row>
    <row r="382" spans="1:3" x14ac:dyDescent="0.35">
      <c r="A382" s="1">
        <v>42553</v>
      </c>
      <c r="B382">
        <f>COUNTIF(Overall!A:A, "2016-07-02")</f>
        <v>0</v>
      </c>
      <c r="C382" s="4">
        <f t="shared" si="5"/>
        <v>0.2857142857142857</v>
      </c>
    </row>
    <row r="383" spans="1:3" x14ac:dyDescent="0.35">
      <c r="A383" s="1">
        <v>42554</v>
      </c>
      <c r="B383">
        <f>COUNTIF(Overall!A:A, "2016-07-03")</f>
        <v>0</v>
      </c>
      <c r="C383" s="4">
        <f t="shared" si="5"/>
        <v>0.2857142857142857</v>
      </c>
    </row>
    <row r="384" spans="1:3" x14ac:dyDescent="0.35">
      <c r="A384" s="1">
        <v>42555</v>
      </c>
      <c r="B384">
        <f>COUNTIF(Overall!A:A, "2016-07-04")</f>
        <v>0</v>
      </c>
      <c r="C384" s="4">
        <f t="shared" si="5"/>
        <v>0.2857142857142857</v>
      </c>
    </row>
    <row r="385" spans="1:3" x14ac:dyDescent="0.35">
      <c r="A385" s="1">
        <v>42556</v>
      </c>
      <c r="B385">
        <f>COUNTIF(Overall!A:A, "2016-07-05")</f>
        <v>1</v>
      </c>
      <c r="C385" s="4">
        <f t="shared" si="5"/>
        <v>0.2857142857142857</v>
      </c>
    </row>
    <row r="386" spans="1:3" x14ac:dyDescent="0.35">
      <c r="A386" s="1">
        <v>42557</v>
      </c>
      <c r="B386">
        <f>COUNTIF(Overall!A:A, "2016-07-06")</f>
        <v>1</v>
      </c>
      <c r="C386" s="4">
        <f t="shared" si="5"/>
        <v>0.2857142857142857</v>
      </c>
    </row>
    <row r="387" spans="1:3" x14ac:dyDescent="0.35">
      <c r="A387" s="1">
        <v>42558</v>
      </c>
      <c r="B387">
        <f>COUNTIF(Overall!A:A, "2016-07-07")</f>
        <v>0</v>
      </c>
      <c r="C387" s="4">
        <f t="shared" si="5"/>
        <v>0.2857142857142857</v>
      </c>
    </row>
    <row r="388" spans="1:3" x14ac:dyDescent="0.35">
      <c r="A388" s="1">
        <v>42559</v>
      </c>
      <c r="B388">
        <f>COUNTIF(Overall!A:A, "2016-07-08")</f>
        <v>0</v>
      </c>
      <c r="C388" s="4">
        <f t="shared" si="5"/>
        <v>0.2857142857142857</v>
      </c>
    </row>
    <row r="389" spans="1:3" x14ac:dyDescent="0.35">
      <c r="A389" s="1">
        <v>42560</v>
      </c>
      <c r="B389">
        <f>COUNTIF(Overall!A:A, "2016-07-09")</f>
        <v>0</v>
      </c>
      <c r="C389" s="4">
        <f t="shared" si="5"/>
        <v>0.2857142857142857</v>
      </c>
    </row>
    <row r="390" spans="1:3" x14ac:dyDescent="0.35">
      <c r="A390" s="1">
        <v>42561</v>
      </c>
      <c r="B390">
        <f>COUNTIF(Overall!A:A, "2016-07-10")</f>
        <v>0</v>
      </c>
      <c r="C390" s="4">
        <f t="shared" si="5"/>
        <v>0.2857142857142857</v>
      </c>
    </row>
    <row r="391" spans="1:3" x14ac:dyDescent="0.35">
      <c r="A391" s="1">
        <v>42562</v>
      </c>
      <c r="B391">
        <f>COUNTIF(Overall!A:A, "2016-07-11")</f>
        <v>0</v>
      </c>
      <c r="C391" s="4">
        <f t="shared" si="5"/>
        <v>0.2857142857142857</v>
      </c>
    </row>
    <row r="392" spans="1:3" x14ac:dyDescent="0.35">
      <c r="A392" s="1">
        <v>42563</v>
      </c>
      <c r="B392">
        <f>COUNTIF(Overall!A:A, "2016-07-12")</f>
        <v>1</v>
      </c>
      <c r="C392" s="4">
        <f t="shared" ref="C392:C455" si="6">AVERAGE(B386:B392)</f>
        <v>0.2857142857142857</v>
      </c>
    </row>
    <row r="393" spans="1:3" x14ac:dyDescent="0.35">
      <c r="A393" s="1">
        <v>42564</v>
      </c>
      <c r="B393">
        <f>COUNTIF(Overall!A:A, "2016-07-13")</f>
        <v>0</v>
      </c>
      <c r="C393" s="4">
        <f t="shared" si="6"/>
        <v>0.14285714285714285</v>
      </c>
    </row>
    <row r="394" spans="1:3" x14ac:dyDescent="0.35">
      <c r="A394" s="1">
        <v>42565</v>
      </c>
      <c r="B394">
        <f>COUNTIF(Overall!A:A, "2016-07-14")</f>
        <v>0</v>
      </c>
      <c r="C394" s="4">
        <f t="shared" si="6"/>
        <v>0.14285714285714285</v>
      </c>
    </row>
    <row r="395" spans="1:3" x14ac:dyDescent="0.35">
      <c r="A395" s="1">
        <v>42566</v>
      </c>
      <c r="B395">
        <f>COUNTIF(Overall!A:A, "2016-07-15")</f>
        <v>0</v>
      </c>
      <c r="C395" s="4">
        <f t="shared" si="6"/>
        <v>0.14285714285714285</v>
      </c>
    </row>
    <row r="396" spans="1:3" x14ac:dyDescent="0.35">
      <c r="A396" s="1">
        <v>42567</v>
      </c>
      <c r="B396">
        <f>COUNTIF(Overall!A:A, "2016-07-16")</f>
        <v>0</v>
      </c>
      <c r="C396" s="4">
        <f t="shared" si="6"/>
        <v>0.14285714285714285</v>
      </c>
    </row>
    <row r="397" spans="1:3" x14ac:dyDescent="0.35">
      <c r="A397" s="1">
        <v>42568</v>
      </c>
      <c r="B397">
        <f>COUNTIF(Overall!A:A, "2016-07-17")</f>
        <v>0</v>
      </c>
      <c r="C397" s="4">
        <f t="shared" si="6"/>
        <v>0.14285714285714285</v>
      </c>
    </row>
    <row r="398" spans="1:3" x14ac:dyDescent="0.35">
      <c r="A398" s="1">
        <v>42569</v>
      </c>
      <c r="B398">
        <f>COUNTIF(Overall!A:A, "2016-07-18")</f>
        <v>0</v>
      </c>
      <c r="C398" s="4">
        <f t="shared" si="6"/>
        <v>0.14285714285714285</v>
      </c>
    </row>
    <row r="399" spans="1:3" x14ac:dyDescent="0.35">
      <c r="A399" s="1">
        <v>42570</v>
      </c>
      <c r="B399">
        <f>COUNTIF(Overall!A:A, "2016-07-19")</f>
        <v>0</v>
      </c>
      <c r="C399" s="4">
        <f t="shared" si="6"/>
        <v>0</v>
      </c>
    </row>
    <row r="400" spans="1:3" x14ac:dyDescent="0.35">
      <c r="A400" s="1">
        <v>42571</v>
      </c>
      <c r="B400">
        <f>COUNTIF(Overall!A:A, "2016-07-20")</f>
        <v>0</v>
      </c>
      <c r="C400" s="4">
        <f t="shared" si="6"/>
        <v>0</v>
      </c>
    </row>
    <row r="401" spans="1:3" x14ac:dyDescent="0.35">
      <c r="A401" s="1">
        <v>42572</v>
      </c>
      <c r="B401">
        <f>COUNTIF(Overall!A:A, "2016-07-21")</f>
        <v>0</v>
      </c>
      <c r="C401" s="4">
        <f t="shared" si="6"/>
        <v>0</v>
      </c>
    </row>
    <row r="402" spans="1:3" x14ac:dyDescent="0.35">
      <c r="A402" s="1">
        <v>42573</v>
      </c>
      <c r="B402">
        <f>COUNTIF(Overall!A:A, "2016-07-22")</f>
        <v>0</v>
      </c>
      <c r="C402" s="4">
        <f t="shared" si="6"/>
        <v>0</v>
      </c>
    </row>
    <row r="403" spans="1:3" x14ac:dyDescent="0.35">
      <c r="A403" s="1">
        <v>42574</v>
      </c>
      <c r="B403">
        <f>COUNTIF(Overall!A:A, "2016-07-23")</f>
        <v>0</v>
      </c>
      <c r="C403" s="4">
        <f t="shared" si="6"/>
        <v>0</v>
      </c>
    </row>
    <row r="404" spans="1:3" x14ac:dyDescent="0.35">
      <c r="A404" s="1">
        <v>42575</v>
      </c>
      <c r="B404">
        <f>COUNTIF(Overall!A:A, "2016-07-24")</f>
        <v>0</v>
      </c>
      <c r="C404" s="4">
        <f t="shared" si="6"/>
        <v>0</v>
      </c>
    </row>
    <row r="405" spans="1:3" x14ac:dyDescent="0.35">
      <c r="A405" s="1">
        <v>42576</v>
      </c>
      <c r="B405">
        <f>COUNTIF(Overall!A:A, "2016-07-25")</f>
        <v>1</v>
      </c>
      <c r="C405" s="4">
        <f t="shared" si="6"/>
        <v>0.14285714285714285</v>
      </c>
    </row>
    <row r="406" spans="1:3" x14ac:dyDescent="0.35">
      <c r="A406" s="1">
        <v>42577</v>
      </c>
      <c r="B406">
        <f>COUNTIF(Overall!A:A, "2016-07-26")</f>
        <v>0</v>
      </c>
      <c r="C406" s="4">
        <f t="shared" si="6"/>
        <v>0.14285714285714285</v>
      </c>
    </row>
    <row r="407" spans="1:3" x14ac:dyDescent="0.35">
      <c r="A407" s="1">
        <v>42578</v>
      </c>
      <c r="B407">
        <f>COUNTIF(Overall!A:A, "2016-07-27")</f>
        <v>2</v>
      </c>
      <c r="C407" s="4">
        <f t="shared" si="6"/>
        <v>0.42857142857142855</v>
      </c>
    </row>
    <row r="408" spans="1:3" x14ac:dyDescent="0.35">
      <c r="A408" s="1">
        <v>42579</v>
      </c>
      <c r="B408">
        <f>COUNTIF(Overall!A:A, "2016-07-28")</f>
        <v>2</v>
      </c>
      <c r="C408" s="4">
        <f t="shared" si="6"/>
        <v>0.7142857142857143</v>
      </c>
    </row>
    <row r="409" spans="1:3" x14ac:dyDescent="0.35">
      <c r="A409" s="1">
        <v>42580</v>
      </c>
      <c r="B409">
        <f>COUNTIF(Overall!A:A, "2016-07-29")</f>
        <v>2</v>
      </c>
      <c r="C409" s="4">
        <f t="shared" si="6"/>
        <v>1</v>
      </c>
    </row>
    <row r="410" spans="1:3" x14ac:dyDescent="0.35">
      <c r="A410" s="1">
        <v>42581</v>
      </c>
      <c r="B410">
        <f>COUNTIF(Overall!A:A, "2016-07-30")</f>
        <v>0</v>
      </c>
      <c r="C410" s="4">
        <f t="shared" si="6"/>
        <v>1</v>
      </c>
    </row>
    <row r="411" spans="1:3" x14ac:dyDescent="0.35">
      <c r="A411" s="1">
        <v>42582</v>
      </c>
      <c r="B411">
        <f>COUNTIF(Overall!A:A, "2016-07-31")</f>
        <v>0</v>
      </c>
      <c r="C411" s="4">
        <f t="shared" si="6"/>
        <v>1</v>
      </c>
    </row>
    <row r="412" spans="1:3" x14ac:dyDescent="0.35">
      <c r="A412" s="1">
        <v>42583</v>
      </c>
      <c r="B412">
        <f>COUNTIF(Overall!A:A, "2016-08-01")</f>
        <v>2</v>
      </c>
      <c r="C412" s="4">
        <f t="shared" si="6"/>
        <v>1.1428571428571428</v>
      </c>
    </row>
    <row r="413" spans="1:3" x14ac:dyDescent="0.35">
      <c r="A413" s="1">
        <v>42584</v>
      </c>
      <c r="B413">
        <f>COUNTIF(Overall!A:A, "2016-08-02")</f>
        <v>1</v>
      </c>
      <c r="C413" s="4">
        <f t="shared" si="6"/>
        <v>1.2857142857142858</v>
      </c>
    </row>
    <row r="414" spans="1:3" x14ac:dyDescent="0.35">
      <c r="A414" s="1">
        <v>42585</v>
      </c>
      <c r="B414">
        <f>COUNTIF(Overall!A:A, "2016-08-03")</f>
        <v>2</v>
      </c>
      <c r="C414" s="4">
        <f t="shared" si="6"/>
        <v>1.2857142857142858</v>
      </c>
    </row>
    <row r="415" spans="1:3" x14ac:dyDescent="0.35">
      <c r="A415" s="1">
        <v>42586</v>
      </c>
      <c r="B415">
        <f>COUNTIF(Overall!A:A, "2016-08-04")</f>
        <v>1</v>
      </c>
      <c r="C415" s="4">
        <f t="shared" si="6"/>
        <v>1.1428571428571428</v>
      </c>
    </row>
    <row r="416" spans="1:3" x14ac:dyDescent="0.35">
      <c r="A416" s="1">
        <v>42587</v>
      </c>
      <c r="B416">
        <f>COUNTIF(Overall!A:A, "2016-08-05")</f>
        <v>2</v>
      </c>
      <c r="C416" s="4">
        <f t="shared" si="6"/>
        <v>1.1428571428571428</v>
      </c>
    </row>
    <row r="417" spans="1:3" x14ac:dyDescent="0.35">
      <c r="A417" s="1">
        <v>42588</v>
      </c>
      <c r="B417">
        <f>COUNTIF(Overall!A:A, "2016-08-06")</f>
        <v>1</v>
      </c>
      <c r="C417" s="4">
        <f t="shared" si="6"/>
        <v>1.2857142857142858</v>
      </c>
    </row>
    <row r="418" spans="1:3" x14ac:dyDescent="0.35">
      <c r="A418" s="1">
        <v>42589</v>
      </c>
      <c r="B418">
        <f>COUNTIF(Overall!A:A, "2016-08-07")</f>
        <v>0</v>
      </c>
      <c r="C418" s="4">
        <f t="shared" si="6"/>
        <v>1.2857142857142858</v>
      </c>
    </row>
    <row r="419" spans="1:3" x14ac:dyDescent="0.35">
      <c r="A419" s="1">
        <v>42590</v>
      </c>
      <c r="B419">
        <f>COUNTIF(Overall!A:A, "2016-08-08")</f>
        <v>0</v>
      </c>
      <c r="C419" s="4">
        <f t="shared" si="6"/>
        <v>1</v>
      </c>
    </row>
    <row r="420" spans="1:3" x14ac:dyDescent="0.35">
      <c r="A420" s="1">
        <v>42591</v>
      </c>
      <c r="B420">
        <f>COUNTIF(Overall!A:A, "2016-08-09")</f>
        <v>2</v>
      </c>
      <c r="C420" s="4">
        <f t="shared" si="6"/>
        <v>1.1428571428571428</v>
      </c>
    </row>
    <row r="421" spans="1:3" x14ac:dyDescent="0.35">
      <c r="A421" s="1">
        <v>42592</v>
      </c>
      <c r="B421">
        <f>COUNTIF(Overall!A:A, "2016-08-10")</f>
        <v>1</v>
      </c>
      <c r="C421" s="4">
        <f t="shared" si="6"/>
        <v>1</v>
      </c>
    </row>
    <row r="422" spans="1:3" x14ac:dyDescent="0.35">
      <c r="A422" s="1">
        <v>42593</v>
      </c>
      <c r="B422">
        <f>COUNTIF(Overall!A:A, "2016-08-11")</f>
        <v>1</v>
      </c>
      <c r="C422" s="4">
        <f t="shared" si="6"/>
        <v>1</v>
      </c>
    </row>
    <row r="423" spans="1:3" x14ac:dyDescent="0.35">
      <c r="A423" s="1">
        <v>42594</v>
      </c>
      <c r="B423">
        <f>COUNTIF(Overall!A:A, "2016-08-12")</f>
        <v>2</v>
      </c>
      <c r="C423" s="4">
        <f t="shared" si="6"/>
        <v>1</v>
      </c>
    </row>
    <row r="424" spans="1:3" x14ac:dyDescent="0.35">
      <c r="A424" s="1">
        <v>42595</v>
      </c>
      <c r="B424">
        <f>COUNTIF(Overall!A:A, "2016-08-13")</f>
        <v>1</v>
      </c>
      <c r="C424" s="4">
        <f t="shared" si="6"/>
        <v>1</v>
      </c>
    </row>
    <row r="425" spans="1:3" x14ac:dyDescent="0.35">
      <c r="A425" s="1">
        <v>42596</v>
      </c>
      <c r="B425">
        <f>COUNTIF(Overall!A:A, "2016-08-14")</f>
        <v>0</v>
      </c>
      <c r="C425" s="4">
        <f t="shared" si="6"/>
        <v>1</v>
      </c>
    </row>
    <row r="426" spans="1:3" x14ac:dyDescent="0.35">
      <c r="A426" s="1">
        <v>42597</v>
      </c>
      <c r="B426">
        <f>COUNTIF(Overall!A:A, "2016-08-15")</f>
        <v>0</v>
      </c>
      <c r="C426" s="4">
        <f t="shared" si="6"/>
        <v>1</v>
      </c>
    </row>
    <row r="427" spans="1:3" x14ac:dyDescent="0.35">
      <c r="A427" s="1">
        <v>42598</v>
      </c>
      <c r="B427">
        <f>COUNTIF(Overall!A:A, "2016-08-16")</f>
        <v>1</v>
      </c>
      <c r="C427" s="4">
        <f t="shared" si="6"/>
        <v>0.8571428571428571</v>
      </c>
    </row>
    <row r="428" spans="1:3" x14ac:dyDescent="0.35">
      <c r="A428" s="1">
        <v>42599</v>
      </c>
      <c r="B428">
        <f>COUNTIF(Overall!A:A, "2016-08-17")</f>
        <v>0</v>
      </c>
      <c r="C428" s="4">
        <f t="shared" si="6"/>
        <v>0.7142857142857143</v>
      </c>
    </row>
    <row r="429" spans="1:3" x14ac:dyDescent="0.35">
      <c r="A429" s="1">
        <v>42600</v>
      </c>
      <c r="B429">
        <f>COUNTIF(Overall!A:A, "2016-08-18")</f>
        <v>1</v>
      </c>
      <c r="C429" s="4">
        <f t="shared" si="6"/>
        <v>0.7142857142857143</v>
      </c>
    </row>
    <row r="430" spans="1:3" x14ac:dyDescent="0.35">
      <c r="A430" s="1">
        <v>42601</v>
      </c>
      <c r="B430">
        <f>COUNTIF(Overall!A:A, "2016-08-19")</f>
        <v>1</v>
      </c>
      <c r="C430" s="4">
        <f t="shared" si="6"/>
        <v>0.5714285714285714</v>
      </c>
    </row>
    <row r="431" spans="1:3" x14ac:dyDescent="0.35">
      <c r="A431" s="1">
        <v>42602</v>
      </c>
      <c r="B431">
        <f>COUNTIF(Overall!A:A, "2016-08-20")</f>
        <v>1</v>
      </c>
      <c r="C431" s="4">
        <f t="shared" si="6"/>
        <v>0.5714285714285714</v>
      </c>
    </row>
    <row r="432" spans="1:3" x14ac:dyDescent="0.35">
      <c r="A432" s="1">
        <v>42603</v>
      </c>
      <c r="B432">
        <f>COUNTIF(Overall!A:A, "2016-08-21")</f>
        <v>0</v>
      </c>
      <c r="C432" s="4">
        <f t="shared" si="6"/>
        <v>0.5714285714285714</v>
      </c>
    </row>
    <row r="433" spans="1:3" x14ac:dyDescent="0.35">
      <c r="A433" s="1">
        <v>42604</v>
      </c>
      <c r="B433">
        <f>COUNTIF(Overall!A:A, "2016-08-22")</f>
        <v>1</v>
      </c>
      <c r="C433" s="4">
        <f t="shared" si="6"/>
        <v>0.7142857142857143</v>
      </c>
    </row>
    <row r="434" spans="1:3" x14ac:dyDescent="0.35">
      <c r="A434" s="1">
        <v>42605</v>
      </c>
      <c r="B434">
        <f>COUNTIF(Overall!A:A, "2016-08-23")</f>
        <v>1</v>
      </c>
      <c r="C434" s="4">
        <f t="shared" si="6"/>
        <v>0.7142857142857143</v>
      </c>
    </row>
    <row r="435" spans="1:3" x14ac:dyDescent="0.35">
      <c r="A435" s="1">
        <v>42606</v>
      </c>
      <c r="B435">
        <f>COUNTIF(Overall!A:A, "2016-08-24")</f>
        <v>2</v>
      </c>
      <c r="C435" s="4">
        <f t="shared" si="6"/>
        <v>1</v>
      </c>
    </row>
    <row r="436" spans="1:3" x14ac:dyDescent="0.35">
      <c r="A436" s="1">
        <v>42607</v>
      </c>
      <c r="B436">
        <f>COUNTIF(Overall!A:A, "2016-08-25")</f>
        <v>1</v>
      </c>
      <c r="C436" s="4">
        <f t="shared" si="6"/>
        <v>1</v>
      </c>
    </row>
    <row r="437" spans="1:3" x14ac:dyDescent="0.35">
      <c r="A437" s="1">
        <v>42608</v>
      </c>
      <c r="B437">
        <f>COUNTIF(Overall!A:A, "2016-08-26")</f>
        <v>0</v>
      </c>
      <c r="C437" s="4">
        <f t="shared" si="6"/>
        <v>0.8571428571428571</v>
      </c>
    </row>
    <row r="438" spans="1:3" x14ac:dyDescent="0.35">
      <c r="A438" s="1">
        <v>42609</v>
      </c>
      <c r="B438">
        <f>COUNTIF(Overall!A:A, "2016-08-27")</f>
        <v>0</v>
      </c>
      <c r="C438" s="4">
        <f t="shared" si="6"/>
        <v>0.7142857142857143</v>
      </c>
    </row>
    <row r="439" spans="1:3" x14ac:dyDescent="0.35">
      <c r="A439" s="1">
        <v>42610</v>
      </c>
      <c r="B439">
        <f>COUNTIF(Overall!A:A, "2016-08-28")</f>
        <v>0</v>
      </c>
      <c r="C439" s="4">
        <f t="shared" si="6"/>
        <v>0.7142857142857143</v>
      </c>
    </row>
    <row r="440" spans="1:3" x14ac:dyDescent="0.35">
      <c r="A440" s="1">
        <v>42611</v>
      </c>
      <c r="B440">
        <f>COUNTIF(Overall!A:A, "2016-08-29")</f>
        <v>0</v>
      </c>
      <c r="C440" s="4">
        <f t="shared" si="6"/>
        <v>0.5714285714285714</v>
      </c>
    </row>
    <row r="441" spans="1:3" x14ac:dyDescent="0.35">
      <c r="A441" s="1">
        <v>42612</v>
      </c>
      <c r="B441">
        <f>COUNTIF(Overall!A:A, "2016-08-30")</f>
        <v>1</v>
      </c>
      <c r="C441" s="4">
        <f t="shared" si="6"/>
        <v>0.5714285714285714</v>
      </c>
    </row>
    <row r="442" spans="1:3" x14ac:dyDescent="0.35">
      <c r="A442" s="1">
        <v>42613</v>
      </c>
      <c r="B442">
        <f>COUNTIF(Overall!A:A, "2016-08-31")</f>
        <v>1</v>
      </c>
      <c r="C442" s="4">
        <f t="shared" si="6"/>
        <v>0.42857142857142855</v>
      </c>
    </row>
    <row r="443" spans="1:3" x14ac:dyDescent="0.35">
      <c r="A443" s="1">
        <v>42614</v>
      </c>
      <c r="B443">
        <f>COUNTIF(Overall!A:A, "2016-09-01")</f>
        <v>1</v>
      </c>
      <c r="C443" s="4">
        <f t="shared" si="6"/>
        <v>0.42857142857142855</v>
      </c>
    </row>
    <row r="444" spans="1:3" x14ac:dyDescent="0.35">
      <c r="A444" s="1">
        <v>42615</v>
      </c>
      <c r="B444">
        <f>COUNTIF(Overall!A:A, "2016-09-02")</f>
        <v>0</v>
      </c>
      <c r="C444" s="4">
        <f t="shared" si="6"/>
        <v>0.42857142857142855</v>
      </c>
    </row>
    <row r="445" spans="1:3" x14ac:dyDescent="0.35">
      <c r="A445" s="1">
        <v>42616</v>
      </c>
      <c r="B445">
        <f>COUNTIF(Overall!A:A, "2016-09-03")</f>
        <v>0</v>
      </c>
      <c r="C445" s="4">
        <f t="shared" si="6"/>
        <v>0.42857142857142855</v>
      </c>
    </row>
    <row r="446" spans="1:3" x14ac:dyDescent="0.35">
      <c r="A446" s="1">
        <v>42617</v>
      </c>
      <c r="B446">
        <f>COUNTIF(Overall!A:A, "2016-09-04")</f>
        <v>0</v>
      </c>
      <c r="C446" s="4">
        <f t="shared" si="6"/>
        <v>0.42857142857142855</v>
      </c>
    </row>
    <row r="447" spans="1:3" x14ac:dyDescent="0.35">
      <c r="A447" s="1">
        <v>42618</v>
      </c>
      <c r="B447">
        <f>COUNTIF(Overall!A:A, "2016-09-05")</f>
        <v>0</v>
      </c>
      <c r="C447" s="4">
        <f t="shared" si="6"/>
        <v>0.42857142857142855</v>
      </c>
    </row>
    <row r="448" spans="1:3" x14ac:dyDescent="0.35">
      <c r="A448" s="1">
        <v>42619</v>
      </c>
      <c r="B448">
        <f>COUNTIF(Overall!A:A, "2016-09-06")</f>
        <v>1</v>
      </c>
      <c r="C448" s="4">
        <f t="shared" si="6"/>
        <v>0.42857142857142855</v>
      </c>
    </row>
    <row r="449" spans="1:3" x14ac:dyDescent="0.35">
      <c r="A449" s="1">
        <v>42620</v>
      </c>
      <c r="B449">
        <f>COUNTIF(Overall!A:A, "2016-09-07")</f>
        <v>0</v>
      </c>
      <c r="C449" s="4">
        <f t="shared" si="6"/>
        <v>0.2857142857142857</v>
      </c>
    </row>
    <row r="450" spans="1:3" x14ac:dyDescent="0.35">
      <c r="A450" s="1">
        <v>42621</v>
      </c>
      <c r="B450">
        <f>COUNTIF(Overall!A:A, "2016-09-08")</f>
        <v>0</v>
      </c>
      <c r="C450" s="4">
        <f t="shared" si="6"/>
        <v>0.14285714285714285</v>
      </c>
    </row>
    <row r="451" spans="1:3" x14ac:dyDescent="0.35">
      <c r="A451" s="1">
        <v>42622</v>
      </c>
      <c r="B451">
        <f>COUNTIF(Overall!A:A, "2016-09-09")</f>
        <v>1</v>
      </c>
      <c r="C451" s="4">
        <f t="shared" si="6"/>
        <v>0.2857142857142857</v>
      </c>
    </row>
    <row r="452" spans="1:3" x14ac:dyDescent="0.35">
      <c r="A452" s="1">
        <v>42623</v>
      </c>
      <c r="B452">
        <f>COUNTIF(Overall!A:A, "2016-09-10")</f>
        <v>0</v>
      </c>
      <c r="C452" s="4">
        <f t="shared" si="6"/>
        <v>0.2857142857142857</v>
      </c>
    </row>
    <row r="453" spans="1:3" x14ac:dyDescent="0.35">
      <c r="A453" s="1">
        <v>42624</v>
      </c>
      <c r="B453">
        <f>COUNTIF(Overall!A:A, "2016-09-11")</f>
        <v>0</v>
      </c>
      <c r="C453" s="4">
        <f t="shared" si="6"/>
        <v>0.2857142857142857</v>
      </c>
    </row>
    <row r="454" spans="1:3" x14ac:dyDescent="0.35">
      <c r="A454" s="1">
        <v>42625</v>
      </c>
      <c r="B454">
        <f>COUNTIF(Overall!A:A, "2016-09-12")</f>
        <v>1</v>
      </c>
      <c r="C454" s="4">
        <f t="shared" si="6"/>
        <v>0.42857142857142855</v>
      </c>
    </row>
    <row r="455" spans="1:3" x14ac:dyDescent="0.35">
      <c r="A455" s="1">
        <v>42626</v>
      </c>
      <c r="B455">
        <f>COUNTIF(Overall!A:A, "2016-09-13")</f>
        <v>1</v>
      </c>
      <c r="C455" s="4">
        <f t="shared" si="6"/>
        <v>0.42857142857142855</v>
      </c>
    </row>
    <row r="456" spans="1:3" x14ac:dyDescent="0.35">
      <c r="A456" s="1">
        <v>42627</v>
      </c>
      <c r="B456">
        <f>COUNTIF(Overall!A:A, "2016-09-14")</f>
        <v>1</v>
      </c>
      <c r="C456" s="4">
        <f t="shared" ref="C456:C519" si="7">AVERAGE(B450:B456)</f>
        <v>0.5714285714285714</v>
      </c>
    </row>
    <row r="457" spans="1:3" x14ac:dyDescent="0.35">
      <c r="A457" s="1">
        <v>42628</v>
      </c>
      <c r="B457">
        <f>COUNTIF(Overall!A:A, "2016-09-15")</f>
        <v>1</v>
      </c>
      <c r="C457" s="4">
        <f t="shared" si="7"/>
        <v>0.7142857142857143</v>
      </c>
    </row>
    <row r="458" spans="1:3" x14ac:dyDescent="0.35">
      <c r="A458" s="1">
        <v>42629</v>
      </c>
      <c r="B458">
        <f>COUNTIF(Overall!A:A, "2016-09-16")</f>
        <v>1</v>
      </c>
      <c r="C458" s="4">
        <f t="shared" si="7"/>
        <v>0.7142857142857143</v>
      </c>
    </row>
    <row r="459" spans="1:3" x14ac:dyDescent="0.35">
      <c r="A459" s="1">
        <v>42630</v>
      </c>
      <c r="B459">
        <f>COUNTIF(Overall!A:A, "2016-09-17")</f>
        <v>1</v>
      </c>
      <c r="C459" s="4">
        <f t="shared" si="7"/>
        <v>0.8571428571428571</v>
      </c>
    </row>
    <row r="460" spans="1:3" x14ac:dyDescent="0.35">
      <c r="A460" s="1">
        <v>42631</v>
      </c>
      <c r="B460">
        <f>COUNTIF(Overall!A:A, "2016-09-18")</f>
        <v>0</v>
      </c>
      <c r="C460" s="4">
        <f t="shared" si="7"/>
        <v>0.8571428571428571</v>
      </c>
    </row>
    <row r="461" spans="1:3" x14ac:dyDescent="0.35">
      <c r="A461" s="1">
        <v>42632</v>
      </c>
      <c r="B461">
        <f>COUNTIF(Overall!A:A, "2016-09-19")</f>
        <v>1</v>
      </c>
      <c r="C461" s="4">
        <f t="shared" si="7"/>
        <v>0.8571428571428571</v>
      </c>
    </row>
    <row r="462" spans="1:3" x14ac:dyDescent="0.35">
      <c r="A462" s="1">
        <v>42633</v>
      </c>
      <c r="B462">
        <f>COUNTIF(Overall!A:A, "2016-09-20")</f>
        <v>2</v>
      </c>
      <c r="C462" s="4">
        <f t="shared" si="7"/>
        <v>1</v>
      </c>
    </row>
    <row r="463" spans="1:3" x14ac:dyDescent="0.35">
      <c r="A463" s="1">
        <v>42634</v>
      </c>
      <c r="B463">
        <f>COUNTIF(Overall!A:A, "2016-09-21")</f>
        <v>1</v>
      </c>
      <c r="C463" s="4">
        <f t="shared" si="7"/>
        <v>1</v>
      </c>
    </row>
    <row r="464" spans="1:3" x14ac:dyDescent="0.35">
      <c r="A464" s="1">
        <v>42635</v>
      </c>
      <c r="B464">
        <f>COUNTIF(Overall!A:A, "2016-09-22")</f>
        <v>1</v>
      </c>
      <c r="C464" s="4">
        <f t="shared" si="7"/>
        <v>1</v>
      </c>
    </row>
    <row r="465" spans="1:3" x14ac:dyDescent="0.35">
      <c r="A465" s="1">
        <v>42636</v>
      </c>
      <c r="B465">
        <f>COUNTIF(Overall!A:A, "2016-09-23")</f>
        <v>0</v>
      </c>
      <c r="C465" s="4">
        <f t="shared" si="7"/>
        <v>0.8571428571428571</v>
      </c>
    </row>
    <row r="466" spans="1:3" x14ac:dyDescent="0.35">
      <c r="A466" s="1">
        <v>42637</v>
      </c>
      <c r="B466">
        <f>COUNTIF(Overall!A:A, "2016-09-24")</f>
        <v>1</v>
      </c>
      <c r="C466" s="4">
        <f t="shared" si="7"/>
        <v>0.8571428571428571</v>
      </c>
    </row>
    <row r="467" spans="1:3" x14ac:dyDescent="0.35">
      <c r="A467" s="1">
        <v>42638</v>
      </c>
      <c r="B467">
        <f>COUNTIF(Overall!A:A, "2016-09-25")</f>
        <v>0</v>
      </c>
      <c r="C467" s="4">
        <f t="shared" si="7"/>
        <v>0.8571428571428571</v>
      </c>
    </row>
    <row r="468" spans="1:3" x14ac:dyDescent="0.35">
      <c r="A468" s="1">
        <v>42639</v>
      </c>
      <c r="B468">
        <f>COUNTIF(Overall!A:A, "2016-09-26")</f>
        <v>0</v>
      </c>
      <c r="C468" s="4">
        <f t="shared" si="7"/>
        <v>0.7142857142857143</v>
      </c>
    </row>
    <row r="469" spans="1:3" x14ac:dyDescent="0.35">
      <c r="A469" s="1">
        <v>42640</v>
      </c>
      <c r="B469">
        <f>COUNTIF(Overall!A:A, "2016-09-27")</f>
        <v>1</v>
      </c>
      <c r="C469" s="4">
        <f t="shared" si="7"/>
        <v>0.5714285714285714</v>
      </c>
    </row>
    <row r="470" spans="1:3" x14ac:dyDescent="0.35">
      <c r="A470" s="1">
        <v>42641</v>
      </c>
      <c r="B470">
        <f>COUNTIF(Overall!A:A, "2016-09-28")</f>
        <v>2</v>
      </c>
      <c r="C470" s="4">
        <f t="shared" si="7"/>
        <v>0.7142857142857143</v>
      </c>
    </row>
    <row r="471" spans="1:3" x14ac:dyDescent="0.35">
      <c r="A471" s="1">
        <v>42642</v>
      </c>
      <c r="B471">
        <f>COUNTIF(Overall!A:A, "2016-09-29")</f>
        <v>1</v>
      </c>
      <c r="C471" s="4">
        <f t="shared" si="7"/>
        <v>0.7142857142857143</v>
      </c>
    </row>
    <row r="472" spans="1:3" x14ac:dyDescent="0.35">
      <c r="A472" s="1">
        <v>42643</v>
      </c>
      <c r="B472">
        <f>COUNTIF(Overall!A:A, "2016-09-30")</f>
        <v>1</v>
      </c>
      <c r="C472" s="4">
        <f t="shared" si="7"/>
        <v>0.8571428571428571</v>
      </c>
    </row>
    <row r="473" spans="1:3" x14ac:dyDescent="0.35">
      <c r="A473" s="1">
        <v>42644</v>
      </c>
      <c r="B473">
        <f>COUNTIF(Overall!A:A, "2016-10-01")</f>
        <v>1</v>
      </c>
      <c r="C473" s="4">
        <f t="shared" si="7"/>
        <v>0.8571428571428571</v>
      </c>
    </row>
    <row r="474" spans="1:3" x14ac:dyDescent="0.35">
      <c r="A474" s="1">
        <v>42645</v>
      </c>
      <c r="B474">
        <f>COUNTIF(Overall!A:A, "2016-10-02")</f>
        <v>0</v>
      </c>
      <c r="C474" s="4">
        <f t="shared" si="7"/>
        <v>0.8571428571428571</v>
      </c>
    </row>
    <row r="475" spans="1:3" x14ac:dyDescent="0.35">
      <c r="A475" s="1">
        <v>42646</v>
      </c>
      <c r="B475">
        <f>COUNTIF(Overall!A:A, "2016-10-03")</f>
        <v>2</v>
      </c>
      <c r="C475" s="4">
        <f t="shared" si="7"/>
        <v>1.1428571428571428</v>
      </c>
    </row>
    <row r="476" spans="1:3" x14ac:dyDescent="0.35">
      <c r="A476" s="1">
        <v>42647</v>
      </c>
      <c r="B476">
        <f>COUNTIF(Overall!A:A, "2016-10-04")</f>
        <v>1</v>
      </c>
      <c r="C476" s="4">
        <f t="shared" si="7"/>
        <v>1.1428571428571428</v>
      </c>
    </row>
    <row r="477" spans="1:3" x14ac:dyDescent="0.35">
      <c r="A477" s="1">
        <v>42648</v>
      </c>
      <c r="B477">
        <f>COUNTIF(Overall!A:A, "2016-10-05")</f>
        <v>2</v>
      </c>
      <c r="C477" s="4">
        <f t="shared" si="7"/>
        <v>1.1428571428571428</v>
      </c>
    </row>
    <row r="478" spans="1:3" x14ac:dyDescent="0.35">
      <c r="A478" s="1">
        <v>42649</v>
      </c>
      <c r="B478">
        <f>COUNTIF(Overall!A:A, "2016-10-06")</f>
        <v>0</v>
      </c>
      <c r="C478" s="4">
        <f t="shared" si="7"/>
        <v>1</v>
      </c>
    </row>
    <row r="479" spans="1:3" x14ac:dyDescent="0.35">
      <c r="A479" s="1">
        <v>42650</v>
      </c>
      <c r="B479">
        <f>COUNTIF(Overall!A:A, "2016-10-07")</f>
        <v>0</v>
      </c>
      <c r="C479" s="4">
        <f t="shared" si="7"/>
        <v>0.8571428571428571</v>
      </c>
    </row>
    <row r="480" spans="1:3" x14ac:dyDescent="0.35">
      <c r="A480" s="1">
        <v>42651</v>
      </c>
      <c r="B480">
        <f>COUNTIF(Overall!A:A, "2016-10-08")</f>
        <v>0</v>
      </c>
      <c r="C480" s="4">
        <f t="shared" si="7"/>
        <v>0.7142857142857143</v>
      </c>
    </row>
    <row r="481" spans="1:3" x14ac:dyDescent="0.35">
      <c r="A481" s="1">
        <v>42652</v>
      </c>
      <c r="B481">
        <f>COUNTIF(Overall!A:A, "2016-10-09")</f>
        <v>0</v>
      </c>
      <c r="C481" s="4">
        <f t="shared" si="7"/>
        <v>0.7142857142857143</v>
      </c>
    </row>
    <row r="482" spans="1:3" x14ac:dyDescent="0.35">
      <c r="A482" s="1">
        <v>42653</v>
      </c>
      <c r="B482">
        <f>COUNTIF(Overall!A:A, "2016-10-10")</f>
        <v>2</v>
      </c>
      <c r="C482" s="4">
        <f t="shared" si="7"/>
        <v>0.7142857142857143</v>
      </c>
    </row>
    <row r="483" spans="1:3" x14ac:dyDescent="0.35">
      <c r="A483" s="1">
        <v>42654</v>
      </c>
      <c r="B483">
        <f>COUNTIF(Overall!A:A, "2016-10-11")</f>
        <v>1</v>
      </c>
      <c r="C483" s="4">
        <f t="shared" si="7"/>
        <v>0.7142857142857143</v>
      </c>
    </row>
    <row r="484" spans="1:3" x14ac:dyDescent="0.35">
      <c r="A484" s="1">
        <v>42655</v>
      </c>
      <c r="B484">
        <f>COUNTIF(Overall!A:A, "2016-10-12")</f>
        <v>2</v>
      </c>
      <c r="C484" s="4">
        <f t="shared" si="7"/>
        <v>0.7142857142857143</v>
      </c>
    </row>
    <row r="485" spans="1:3" x14ac:dyDescent="0.35">
      <c r="A485" s="1">
        <v>42656</v>
      </c>
      <c r="B485">
        <f>COUNTIF(Overall!A:A, "2016-10-13")</f>
        <v>2</v>
      </c>
      <c r="C485" s="4">
        <f t="shared" si="7"/>
        <v>1</v>
      </c>
    </row>
    <row r="486" spans="1:3" x14ac:dyDescent="0.35">
      <c r="A486" s="1">
        <v>42657</v>
      </c>
      <c r="B486">
        <f>COUNTIF(Overall!A:A, "2016-10-14")</f>
        <v>2</v>
      </c>
      <c r="C486" s="4">
        <f t="shared" si="7"/>
        <v>1.2857142857142858</v>
      </c>
    </row>
    <row r="487" spans="1:3" x14ac:dyDescent="0.35">
      <c r="A487" s="1">
        <v>42658</v>
      </c>
      <c r="B487">
        <f>COUNTIF(Overall!A:A, "2016-10-15")</f>
        <v>2</v>
      </c>
      <c r="C487" s="4">
        <f t="shared" si="7"/>
        <v>1.5714285714285714</v>
      </c>
    </row>
    <row r="488" spans="1:3" x14ac:dyDescent="0.35">
      <c r="A488" s="1">
        <v>42659</v>
      </c>
      <c r="B488">
        <f>COUNTIF(Overall!A:A, "2016-10-16")</f>
        <v>0</v>
      </c>
      <c r="C488" s="4">
        <f t="shared" si="7"/>
        <v>1.5714285714285714</v>
      </c>
    </row>
    <row r="489" spans="1:3" x14ac:dyDescent="0.35">
      <c r="A489" s="1">
        <v>42660</v>
      </c>
      <c r="B489">
        <f>COUNTIF(Overall!A:A, "2016-10-17")</f>
        <v>1</v>
      </c>
      <c r="C489" s="4">
        <f t="shared" si="7"/>
        <v>1.4285714285714286</v>
      </c>
    </row>
    <row r="490" spans="1:3" x14ac:dyDescent="0.35">
      <c r="A490" s="1">
        <v>42661</v>
      </c>
      <c r="B490">
        <f>COUNTIF(Overall!A:A, "2016-10-18")</f>
        <v>2</v>
      </c>
      <c r="C490" s="4">
        <f t="shared" si="7"/>
        <v>1.5714285714285714</v>
      </c>
    </row>
    <row r="491" spans="1:3" x14ac:dyDescent="0.35">
      <c r="A491" s="1">
        <v>42662</v>
      </c>
      <c r="B491">
        <f>COUNTIF(Overall!A:A, "2016-10-19")</f>
        <v>0</v>
      </c>
      <c r="C491" s="4">
        <f t="shared" si="7"/>
        <v>1.2857142857142858</v>
      </c>
    </row>
    <row r="492" spans="1:3" x14ac:dyDescent="0.35">
      <c r="A492" s="1">
        <v>42663</v>
      </c>
      <c r="B492">
        <f>COUNTIF(Overall!A:A, "2016-10-20")</f>
        <v>1</v>
      </c>
      <c r="C492" s="4">
        <f t="shared" si="7"/>
        <v>1.1428571428571428</v>
      </c>
    </row>
    <row r="493" spans="1:3" x14ac:dyDescent="0.35">
      <c r="A493" s="1">
        <v>42664</v>
      </c>
      <c r="B493">
        <f>COUNTIF(Overall!A:A, "2016-10-21")</f>
        <v>3</v>
      </c>
      <c r="C493" s="4">
        <f t="shared" si="7"/>
        <v>1.2857142857142858</v>
      </c>
    </row>
    <row r="494" spans="1:3" x14ac:dyDescent="0.35">
      <c r="A494" s="1">
        <v>42665</v>
      </c>
      <c r="B494">
        <f>COUNTIF(Overall!A:A, "2016-10-22")</f>
        <v>2</v>
      </c>
      <c r="C494" s="4">
        <f t="shared" si="7"/>
        <v>1.2857142857142858</v>
      </c>
    </row>
    <row r="495" spans="1:3" x14ac:dyDescent="0.35">
      <c r="A495" s="1">
        <v>42666</v>
      </c>
      <c r="B495">
        <f>COUNTIF(Overall!A:A, "2016-10-23")</f>
        <v>1</v>
      </c>
      <c r="C495" s="4">
        <f t="shared" si="7"/>
        <v>1.4285714285714286</v>
      </c>
    </row>
    <row r="496" spans="1:3" x14ac:dyDescent="0.35">
      <c r="A496" s="1">
        <v>42667</v>
      </c>
      <c r="B496">
        <f>COUNTIF(Overall!A:A, "2016-10-24")</f>
        <v>2</v>
      </c>
      <c r="C496" s="4">
        <f t="shared" si="7"/>
        <v>1.5714285714285714</v>
      </c>
    </row>
    <row r="497" spans="1:3" x14ac:dyDescent="0.35">
      <c r="A497" s="1">
        <v>42668</v>
      </c>
      <c r="B497">
        <f>COUNTIF(Overall!A:A, "2016-10-25")</f>
        <v>2</v>
      </c>
      <c r="C497" s="4">
        <f t="shared" si="7"/>
        <v>1.5714285714285714</v>
      </c>
    </row>
    <row r="498" spans="1:3" x14ac:dyDescent="0.35">
      <c r="A498" s="1">
        <v>42669</v>
      </c>
      <c r="B498">
        <f>COUNTIF(Overall!A:A, "2016-10-26")</f>
        <v>1</v>
      </c>
      <c r="C498" s="4">
        <f t="shared" si="7"/>
        <v>1.7142857142857142</v>
      </c>
    </row>
    <row r="499" spans="1:3" x14ac:dyDescent="0.35">
      <c r="A499" s="1">
        <v>42670</v>
      </c>
      <c r="B499">
        <f>COUNTIF(Overall!A:A, "2016-10-27")</f>
        <v>3</v>
      </c>
      <c r="C499" s="4">
        <f t="shared" si="7"/>
        <v>2</v>
      </c>
    </row>
    <row r="500" spans="1:3" x14ac:dyDescent="0.35">
      <c r="A500" s="1">
        <v>42671</v>
      </c>
      <c r="B500">
        <f>COUNTIF(Overall!A:A, "2016-10-28")</f>
        <v>3</v>
      </c>
      <c r="C500" s="4">
        <f t="shared" si="7"/>
        <v>2</v>
      </c>
    </row>
    <row r="501" spans="1:3" x14ac:dyDescent="0.35">
      <c r="A501" s="1">
        <v>42672</v>
      </c>
      <c r="B501">
        <f>COUNTIF(Overall!A:A, "2016-10-29")</f>
        <v>2</v>
      </c>
      <c r="C501" s="4">
        <f t="shared" si="7"/>
        <v>2</v>
      </c>
    </row>
    <row r="502" spans="1:3" x14ac:dyDescent="0.35">
      <c r="A502" s="1">
        <v>42673</v>
      </c>
      <c r="B502">
        <f>COUNTIF(Overall!A:A, "2016-10-30")</f>
        <v>3</v>
      </c>
      <c r="C502" s="4">
        <f t="shared" si="7"/>
        <v>2.2857142857142856</v>
      </c>
    </row>
    <row r="503" spans="1:3" x14ac:dyDescent="0.35">
      <c r="A503" s="1">
        <v>42674</v>
      </c>
      <c r="B503">
        <f>COUNTIF(Overall!A:A, "2016-10-31")</f>
        <v>2</v>
      </c>
      <c r="C503" s="4">
        <f t="shared" si="7"/>
        <v>2.2857142857142856</v>
      </c>
    </row>
    <row r="504" spans="1:3" x14ac:dyDescent="0.35">
      <c r="A504" s="1">
        <v>42675</v>
      </c>
      <c r="B504">
        <f>COUNTIF(Overall!A:A, "2016-11-01")</f>
        <v>1</v>
      </c>
      <c r="C504" s="4">
        <f t="shared" si="7"/>
        <v>2.1428571428571428</v>
      </c>
    </row>
    <row r="505" spans="1:3" x14ac:dyDescent="0.35">
      <c r="A505" s="1">
        <v>42676</v>
      </c>
      <c r="B505">
        <f>COUNTIF(Overall!A:A, "2016-11-02")</f>
        <v>3</v>
      </c>
      <c r="C505" s="4">
        <f t="shared" si="7"/>
        <v>2.4285714285714284</v>
      </c>
    </row>
    <row r="506" spans="1:3" x14ac:dyDescent="0.35">
      <c r="A506" s="1">
        <v>42677</v>
      </c>
      <c r="B506">
        <f>COUNTIF(Overall!A:A, "2016-11-03")</f>
        <v>3</v>
      </c>
      <c r="C506" s="4">
        <f t="shared" si="7"/>
        <v>2.4285714285714284</v>
      </c>
    </row>
    <row r="507" spans="1:3" x14ac:dyDescent="0.35">
      <c r="A507" s="1">
        <v>42678</v>
      </c>
      <c r="B507">
        <f>COUNTIF(Overall!A:A, "2016-11-04")</f>
        <v>3</v>
      </c>
      <c r="C507" s="4">
        <f t="shared" si="7"/>
        <v>2.4285714285714284</v>
      </c>
    </row>
    <row r="508" spans="1:3" x14ac:dyDescent="0.35">
      <c r="A508" s="1">
        <v>42679</v>
      </c>
      <c r="B508">
        <f>COUNTIF(Overall!A:A, "2016-11-05")</f>
        <v>4</v>
      </c>
      <c r="C508" s="4">
        <f t="shared" si="7"/>
        <v>2.7142857142857144</v>
      </c>
    </row>
    <row r="509" spans="1:3" x14ac:dyDescent="0.35">
      <c r="A509" s="1">
        <v>42680</v>
      </c>
      <c r="B509">
        <f>COUNTIF(Overall!A:A, "2016-11-06")</f>
        <v>5</v>
      </c>
      <c r="C509" s="4">
        <f t="shared" si="7"/>
        <v>3</v>
      </c>
    </row>
    <row r="510" spans="1:3" x14ac:dyDescent="0.35">
      <c r="A510" s="1">
        <v>42681</v>
      </c>
      <c r="B510">
        <f>COUNTIF(Overall!A:A, "2016-11-07")</f>
        <v>5</v>
      </c>
      <c r="C510" s="4">
        <f t="shared" si="7"/>
        <v>3.4285714285714284</v>
      </c>
    </row>
    <row r="511" spans="1:3" x14ac:dyDescent="0.35">
      <c r="A511" s="1">
        <v>42682</v>
      </c>
      <c r="B511">
        <f>COUNTIF(Overall!A:A, "2016-11-08")</f>
        <v>0</v>
      </c>
      <c r="C511" s="4">
        <f t="shared" si="7"/>
        <v>3.2857142857142856</v>
      </c>
    </row>
    <row r="512" spans="1:3" x14ac:dyDescent="0.35">
      <c r="A512" s="1">
        <v>42683</v>
      </c>
      <c r="B512">
        <f>COUNTIF(Overall!A:A, "2016-11-08")</f>
        <v>0</v>
      </c>
      <c r="C512" s="4">
        <f t="shared" si="7"/>
        <v>2.8571428571428572</v>
      </c>
    </row>
    <row r="513" spans="1:3" x14ac:dyDescent="0.35">
      <c r="A513" s="1">
        <v>42684</v>
      </c>
      <c r="B513">
        <f>COUNTIF(Overall!A:A, "2016-11-08")</f>
        <v>0</v>
      </c>
      <c r="C513" s="4">
        <f t="shared" si="7"/>
        <v>2.4285714285714284</v>
      </c>
    </row>
    <row r="514" spans="1:3" x14ac:dyDescent="0.35">
      <c r="A514" s="1">
        <v>42685</v>
      </c>
      <c r="B514">
        <f>COUNTIF(Overall!A:A, "2016-11-08")</f>
        <v>0</v>
      </c>
      <c r="C514" s="4">
        <f t="shared" si="7"/>
        <v>2</v>
      </c>
    </row>
    <row r="515" spans="1:3" x14ac:dyDescent="0.35">
      <c r="A515" s="1">
        <v>42686</v>
      </c>
      <c r="B515">
        <f>COUNTIF(Overall!A:A, "2016-11-08")</f>
        <v>0</v>
      </c>
      <c r="C515" s="4">
        <f t="shared" si="7"/>
        <v>1.4285714285714286</v>
      </c>
    </row>
    <row r="516" spans="1:3" x14ac:dyDescent="0.35">
      <c r="A516" s="1">
        <v>42687</v>
      </c>
      <c r="B516">
        <f>COUNTIF(Overall!A:A, "2016-11-08")</f>
        <v>0</v>
      </c>
      <c r="C516" s="4">
        <f t="shared" si="7"/>
        <v>0.7142857142857143</v>
      </c>
    </row>
    <row r="517" spans="1:3" x14ac:dyDescent="0.35">
      <c r="A517" s="1">
        <v>42688</v>
      </c>
      <c r="B517">
        <f>COUNTIF(Overall!A:A, "2016-11-08")</f>
        <v>0</v>
      </c>
      <c r="C517" s="4">
        <f t="shared" si="7"/>
        <v>0</v>
      </c>
    </row>
    <row r="518" spans="1:3" x14ac:dyDescent="0.35">
      <c r="A518" s="1">
        <v>42689</v>
      </c>
      <c r="B518">
        <f>COUNTIF(Overall!A:A, "2016-11-08")</f>
        <v>0</v>
      </c>
      <c r="C518" s="4">
        <f t="shared" si="7"/>
        <v>0</v>
      </c>
    </row>
    <row r="519" spans="1:3" x14ac:dyDescent="0.35">
      <c r="A519" s="1">
        <v>42690</v>
      </c>
      <c r="B519">
        <f>COUNTIF(Overall!A:A, "2016-11-08")</f>
        <v>0</v>
      </c>
      <c r="C519" s="4">
        <f t="shared" si="7"/>
        <v>0</v>
      </c>
    </row>
    <row r="520" spans="1:3" x14ac:dyDescent="0.35">
      <c r="A520" s="1">
        <v>42691</v>
      </c>
      <c r="B520">
        <f>COUNTIF(Overall!A:A, "2016-11-08")</f>
        <v>0</v>
      </c>
      <c r="C520" s="4">
        <f t="shared" ref="C520:C583" si="8">AVERAGE(B514:B520)</f>
        <v>0</v>
      </c>
    </row>
    <row r="521" spans="1:3" x14ac:dyDescent="0.35">
      <c r="A521" s="1">
        <v>42692</v>
      </c>
      <c r="B521">
        <f>COUNTIF(Overall!A:A, "2016-11-08")</f>
        <v>0</v>
      </c>
      <c r="C521" s="4">
        <f t="shared" si="8"/>
        <v>0</v>
      </c>
    </row>
    <row r="522" spans="1:3" x14ac:dyDescent="0.35">
      <c r="A522" s="1">
        <v>42693</v>
      </c>
      <c r="B522">
        <f>COUNTIF(Overall!A:A, "2016-11-08")</f>
        <v>0</v>
      </c>
      <c r="C522" s="4">
        <f t="shared" si="8"/>
        <v>0</v>
      </c>
    </row>
    <row r="523" spans="1:3" x14ac:dyDescent="0.35">
      <c r="A523" s="1">
        <v>42694</v>
      </c>
      <c r="B523">
        <f>COUNTIF(Overall!A:A, "2016-11-08")</f>
        <v>0</v>
      </c>
      <c r="C523" s="4">
        <f t="shared" si="8"/>
        <v>0</v>
      </c>
    </row>
    <row r="524" spans="1:3" x14ac:dyDescent="0.35">
      <c r="A524" s="1">
        <v>42695</v>
      </c>
      <c r="B524">
        <f>COUNTIF(Overall!A:A, "2016-11-08")</f>
        <v>0</v>
      </c>
      <c r="C524" s="4">
        <f t="shared" si="8"/>
        <v>0</v>
      </c>
    </row>
    <row r="525" spans="1:3" x14ac:dyDescent="0.35">
      <c r="A525" s="1">
        <v>42696</v>
      </c>
      <c r="B525">
        <f>COUNTIF(Overall!A:A, "2016-11-08")</f>
        <v>0</v>
      </c>
      <c r="C525" s="4">
        <f t="shared" si="8"/>
        <v>0</v>
      </c>
    </row>
    <row r="526" spans="1:3" x14ac:dyDescent="0.35">
      <c r="A526" s="1">
        <v>42697</v>
      </c>
      <c r="B526">
        <f>COUNTIF(Overall!A:A, "2016-11-08")</f>
        <v>0</v>
      </c>
      <c r="C526" s="4">
        <f t="shared" si="8"/>
        <v>0</v>
      </c>
    </row>
    <row r="527" spans="1:3" x14ac:dyDescent="0.35">
      <c r="A527" s="1">
        <v>42698</v>
      </c>
      <c r="B527">
        <f>COUNTIF(Overall!A:A, "2016-11-08")</f>
        <v>0</v>
      </c>
      <c r="C527" s="4">
        <f t="shared" si="8"/>
        <v>0</v>
      </c>
    </row>
    <row r="528" spans="1:3" x14ac:dyDescent="0.35">
      <c r="A528" s="1">
        <v>42699</v>
      </c>
      <c r="B528">
        <f>COUNTIF(Overall!A:A, "2016-11-08")</f>
        <v>0</v>
      </c>
      <c r="C528" s="4">
        <f t="shared" si="8"/>
        <v>0</v>
      </c>
    </row>
    <row r="529" spans="1:3" x14ac:dyDescent="0.35">
      <c r="A529" s="1">
        <v>42700</v>
      </c>
      <c r="B529">
        <f>COUNTIF(Overall!A:A, "2016-11-08")</f>
        <v>0</v>
      </c>
      <c r="C529" s="4">
        <f t="shared" si="8"/>
        <v>0</v>
      </c>
    </row>
    <row r="530" spans="1:3" x14ac:dyDescent="0.35">
      <c r="A530" s="1">
        <v>42701</v>
      </c>
      <c r="B530">
        <f>COUNTIF(Overall!A:A, "2016-11-08")</f>
        <v>0</v>
      </c>
      <c r="C530" s="4">
        <f t="shared" si="8"/>
        <v>0</v>
      </c>
    </row>
    <row r="531" spans="1:3" x14ac:dyDescent="0.35">
      <c r="A531" s="1">
        <v>42702</v>
      </c>
      <c r="B531">
        <f>COUNTIF(Overall!A:A, "2016-11-08")</f>
        <v>0</v>
      </c>
      <c r="C531" s="4">
        <f t="shared" si="8"/>
        <v>0</v>
      </c>
    </row>
    <row r="532" spans="1:3" x14ac:dyDescent="0.35">
      <c r="A532" s="1">
        <v>42703</v>
      </c>
      <c r="B532">
        <f>COUNTIF(Overall!A:A, "2016-11-08")</f>
        <v>0</v>
      </c>
      <c r="C532" s="4">
        <f t="shared" si="8"/>
        <v>0</v>
      </c>
    </row>
    <row r="533" spans="1:3" x14ac:dyDescent="0.35">
      <c r="A533" s="1">
        <v>42704</v>
      </c>
      <c r="B533">
        <f>COUNTIF(Overall!A:A, "2016-11-08")</f>
        <v>0</v>
      </c>
      <c r="C533" s="4">
        <f t="shared" si="8"/>
        <v>0</v>
      </c>
    </row>
    <row r="534" spans="1:3" x14ac:dyDescent="0.35">
      <c r="A534" s="1">
        <v>42705</v>
      </c>
      <c r="B534">
        <f>COUNTIF(Overall!A:A, "2016-12-01")</f>
        <v>1</v>
      </c>
      <c r="C534" s="4">
        <f t="shared" si="8"/>
        <v>0.14285714285714285</v>
      </c>
    </row>
    <row r="535" spans="1:3" x14ac:dyDescent="0.35">
      <c r="A535" s="1">
        <v>42706</v>
      </c>
      <c r="B535">
        <f>COUNTIF(Overall!A:A, "2016-12-02")</f>
        <v>0</v>
      </c>
      <c r="C535" s="4">
        <f t="shared" si="8"/>
        <v>0.14285714285714285</v>
      </c>
    </row>
    <row r="536" spans="1:3" x14ac:dyDescent="0.35">
      <c r="A536" s="1">
        <v>42707</v>
      </c>
      <c r="B536">
        <f>COUNTIF(Overall!A:A, "2016-12-03")</f>
        <v>0</v>
      </c>
      <c r="C536" s="4">
        <f t="shared" si="8"/>
        <v>0.14285714285714285</v>
      </c>
    </row>
    <row r="537" spans="1:3" x14ac:dyDescent="0.35">
      <c r="A537" s="1">
        <v>42708</v>
      </c>
      <c r="B537">
        <f>COUNTIF(Overall!A:A, "2016-12-04")</f>
        <v>0</v>
      </c>
      <c r="C537" s="4">
        <f t="shared" si="8"/>
        <v>0.14285714285714285</v>
      </c>
    </row>
    <row r="538" spans="1:3" x14ac:dyDescent="0.35">
      <c r="A538" s="1">
        <v>42709</v>
      </c>
      <c r="B538">
        <f>COUNTIF(Overall!A:A, "2016-12-05")</f>
        <v>0</v>
      </c>
      <c r="C538" s="4">
        <f t="shared" si="8"/>
        <v>0.14285714285714285</v>
      </c>
    </row>
    <row r="539" spans="1:3" x14ac:dyDescent="0.35">
      <c r="A539" s="1">
        <v>42710</v>
      </c>
      <c r="B539">
        <f>COUNTIF(Overall!A:A, "2016-12-06")</f>
        <v>1</v>
      </c>
      <c r="C539" s="4">
        <f t="shared" si="8"/>
        <v>0.2857142857142857</v>
      </c>
    </row>
    <row r="540" spans="1:3" x14ac:dyDescent="0.35">
      <c r="A540" s="1">
        <v>42711</v>
      </c>
      <c r="B540">
        <f>COUNTIF(Overall!A:A, "2016-12-07")</f>
        <v>0</v>
      </c>
      <c r="C540" s="4">
        <f t="shared" si="8"/>
        <v>0.2857142857142857</v>
      </c>
    </row>
    <row r="541" spans="1:3" x14ac:dyDescent="0.35">
      <c r="A541" s="1">
        <v>42712</v>
      </c>
      <c r="B541">
        <f>COUNTIF(Overall!A:A, "2016-12-08")</f>
        <v>1</v>
      </c>
      <c r="C541" s="4">
        <f t="shared" si="8"/>
        <v>0.2857142857142857</v>
      </c>
    </row>
    <row r="542" spans="1:3" x14ac:dyDescent="0.35">
      <c r="A542" s="1">
        <v>42713</v>
      </c>
      <c r="B542">
        <f>COUNTIF(Overall!A:A, "2016-12-09")</f>
        <v>2</v>
      </c>
      <c r="C542" s="4">
        <f t="shared" si="8"/>
        <v>0.5714285714285714</v>
      </c>
    </row>
    <row r="543" spans="1:3" x14ac:dyDescent="0.35">
      <c r="A543" s="1">
        <v>42714</v>
      </c>
      <c r="B543">
        <f>COUNTIF(Overall!A:A, "2016-12-10")</f>
        <v>0</v>
      </c>
      <c r="C543" s="4">
        <f t="shared" si="8"/>
        <v>0.5714285714285714</v>
      </c>
    </row>
    <row r="544" spans="1:3" x14ac:dyDescent="0.35">
      <c r="A544" s="1">
        <v>42715</v>
      </c>
      <c r="B544">
        <f>COUNTIF(Overall!A:A, "2016-12-11")</f>
        <v>0</v>
      </c>
      <c r="C544" s="4">
        <f t="shared" si="8"/>
        <v>0.5714285714285714</v>
      </c>
    </row>
    <row r="545" spans="1:3" x14ac:dyDescent="0.35">
      <c r="A545" s="1">
        <v>42716</v>
      </c>
      <c r="B545">
        <f>COUNTIF(Overall!A:A, "2016-12-12")</f>
        <v>0</v>
      </c>
      <c r="C545" s="4">
        <f t="shared" si="8"/>
        <v>0.5714285714285714</v>
      </c>
    </row>
    <row r="546" spans="1:3" x14ac:dyDescent="0.35">
      <c r="A546" s="1">
        <v>42717</v>
      </c>
      <c r="B546">
        <f>COUNTIF(Overall!A:A, "2016-12-13")</f>
        <v>1</v>
      </c>
      <c r="C546" s="4">
        <f t="shared" si="8"/>
        <v>0.5714285714285714</v>
      </c>
    </row>
    <row r="547" spans="1:3" x14ac:dyDescent="0.35">
      <c r="A547" s="1">
        <v>42718</v>
      </c>
      <c r="B547">
        <f>COUNTIF(Overall!A:A, "2016-12-14")</f>
        <v>0</v>
      </c>
      <c r="C547" s="4">
        <f t="shared" si="8"/>
        <v>0.5714285714285714</v>
      </c>
    </row>
    <row r="548" spans="1:3" x14ac:dyDescent="0.35">
      <c r="A548" s="1">
        <v>42719</v>
      </c>
      <c r="B548">
        <f>COUNTIF(Overall!A:A, "2016-12-15")</f>
        <v>1</v>
      </c>
      <c r="C548" s="4">
        <f t="shared" si="8"/>
        <v>0.5714285714285714</v>
      </c>
    </row>
    <row r="549" spans="1:3" x14ac:dyDescent="0.35">
      <c r="A549" s="1">
        <v>42720</v>
      </c>
      <c r="B549">
        <f>COUNTIF(Overall!A:A, "2016-12-16")</f>
        <v>1</v>
      </c>
      <c r="C549" s="4">
        <f t="shared" si="8"/>
        <v>0.42857142857142855</v>
      </c>
    </row>
    <row r="550" spans="1:3" x14ac:dyDescent="0.35">
      <c r="A550" s="1">
        <v>42721</v>
      </c>
      <c r="B550">
        <f>COUNTIF(Overall!A:A, "2016-12-17")</f>
        <v>1</v>
      </c>
      <c r="C550" s="4">
        <f t="shared" si="8"/>
        <v>0.5714285714285714</v>
      </c>
    </row>
    <row r="551" spans="1:3" x14ac:dyDescent="0.35">
      <c r="A551" s="1">
        <v>42722</v>
      </c>
      <c r="B551">
        <f>COUNTIF(Overall!A:A, "2016-12-18")</f>
        <v>0</v>
      </c>
      <c r="C551" s="4">
        <f t="shared" si="8"/>
        <v>0.5714285714285714</v>
      </c>
    </row>
    <row r="552" spans="1:3" x14ac:dyDescent="0.35">
      <c r="A552" s="1">
        <v>42723</v>
      </c>
      <c r="B552">
        <f>COUNTIF(Overall!A:A, "2016-12-19")</f>
        <v>0</v>
      </c>
      <c r="C552" s="4">
        <f t="shared" si="8"/>
        <v>0.5714285714285714</v>
      </c>
    </row>
    <row r="553" spans="1:3" x14ac:dyDescent="0.35">
      <c r="A553" s="1">
        <v>42724</v>
      </c>
      <c r="B553">
        <f>COUNTIF(Overall!A:A, "2016-12-20")</f>
        <v>0</v>
      </c>
      <c r="C553" s="4">
        <f t="shared" si="8"/>
        <v>0.42857142857142855</v>
      </c>
    </row>
    <row r="554" spans="1:3" x14ac:dyDescent="0.35">
      <c r="A554" s="1">
        <v>42725</v>
      </c>
      <c r="B554">
        <f>COUNTIF(Overall!A:A, "2016-12-21")</f>
        <v>0</v>
      </c>
      <c r="C554" s="4">
        <f t="shared" si="8"/>
        <v>0.42857142857142855</v>
      </c>
    </row>
    <row r="555" spans="1:3" x14ac:dyDescent="0.35">
      <c r="A555" s="1">
        <v>42726</v>
      </c>
      <c r="B555">
        <f>COUNTIF(Overall!A:A, "2016-12-22")</f>
        <v>0</v>
      </c>
      <c r="C555" s="4">
        <f t="shared" si="8"/>
        <v>0.2857142857142857</v>
      </c>
    </row>
    <row r="556" spans="1:3" x14ac:dyDescent="0.35">
      <c r="A556" s="1">
        <v>42727</v>
      </c>
      <c r="B556">
        <f>COUNTIF(Overall!A:A, "2016-12-23")</f>
        <v>0</v>
      </c>
      <c r="C556" s="4">
        <f t="shared" si="8"/>
        <v>0.14285714285714285</v>
      </c>
    </row>
    <row r="557" spans="1:3" x14ac:dyDescent="0.35">
      <c r="A557" s="1">
        <v>42728</v>
      </c>
      <c r="B557">
        <f>COUNTIF(Overall!A:A, "2016-12-24")</f>
        <v>0</v>
      </c>
      <c r="C557" s="4">
        <f t="shared" si="8"/>
        <v>0</v>
      </c>
    </row>
    <row r="558" spans="1:3" x14ac:dyDescent="0.35">
      <c r="A558" s="1">
        <v>42729</v>
      </c>
      <c r="B558">
        <f>COUNTIF(Overall!A:A, "2016-12-25")</f>
        <v>0</v>
      </c>
      <c r="C558" s="4">
        <f t="shared" si="8"/>
        <v>0</v>
      </c>
    </row>
    <row r="559" spans="1:3" x14ac:dyDescent="0.35">
      <c r="A559" s="1">
        <v>42730</v>
      </c>
      <c r="B559">
        <f>COUNTIF(Overall!A:A, "2016-12-26")</f>
        <v>0</v>
      </c>
      <c r="C559" s="4">
        <f t="shared" si="8"/>
        <v>0</v>
      </c>
    </row>
    <row r="560" spans="1:3" x14ac:dyDescent="0.35">
      <c r="A560" s="1">
        <v>42731</v>
      </c>
      <c r="B560">
        <f>COUNTIF(Overall!A:A, "2016-12-27")</f>
        <v>0</v>
      </c>
      <c r="C560" s="4">
        <f t="shared" si="8"/>
        <v>0</v>
      </c>
    </row>
    <row r="561" spans="1:3" x14ac:dyDescent="0.35">
      <c r="A561" s="1">
        <v>42732</v>
      </c>
      <c r="B561">
        <f>COUNTIF(Overall!A:A, "2016-12-28")</f>
        <v>0</v>
      </c>
      <c r="C561" s="4">
        <f t="shared" si="8"/>
        <v>0</v>
      </c>
    </row>
    <row r="562" spans="1:3" x14ac:dyDescent="0.35">
      <c r="A562" s="1">
        <v>42733</v>
      </c>
      <c r="B562">
        <f>COUNTIF(Overall!A:A, "2016-12-29")</f>
        <v>0</v>
      </c>
      <c r="C562" s="4">
        <f t="shared" si="8"/>
        <v>0</v>
      </c>
    </row>
    <row r="563" spans="1:3" x14ac:dyDescent="0.35">
      <c r="A563" s="1">
        <v>42734</v>
      </c>
      <c r="B563">
        <f>COUNTIF(Overall!A:A, "2016-12-30")</f>
        <v>0</v>
      </c>
      <c r="C563" s="4">
        <f t="shared" si="8"/>
        <v>0</v>
      </c>
    </row>
    <row r="564" spans="1:3" x14ac:dyDescent="0.35">
      <c r="A564" s="1">
        <v>42735</v>
      </c>
      <c r="B564">
        <f>COUNTIF(Overall!A:A, "2016-12-31")</f>
        <v>0</v>
      </c>
      <c r="C564" s="4">
        <f t="shared" si="8"/>
        <v>0</v>
      </c>
    </row>
    <row r="565" spans="1:3" x14ac:dyDescent="0.35">
      <c r="A565" s="1">
        <v>42736</v>
      </c>
      <c r="B565">
        <f>COUNTIF(Overall!A:A, "2017-01-01")</f>
        <v>0</v>
      </c>
      <c r="C565" s="4">
        <f t="shared" si="8"/>
        <v>0</v>
      </c>
    </row>
    <row r="566" spans="1:3" x14ac:dyDescent="0.35">
      <c r="A566" s="1">
        <v>42737</v>
      </c>
      <c r="B566">
        <f>COUNTIF(Overall!A:A, "2017-01-01")</f>
        <v>0</v>
      </c>
      <c r="C566" s="4">
        <f t="shared" si="8"/>
        <v>0</v>
      </c>
    </row>
    <row r="567" spans="1:3" x14ac:dyDescent="0.35">
      <c r="A567" s="1">
        <v>42738</v>
      </c>
      <c r="B567">
        <f>COUNTIF(Overall!A:A, "2017-01-01")</f>
        <v>0</v>
      </c>
      <c r="C567" s="4">
        <f t="shared" si="8"/>
        <v>0</v>
      </c>
    </row>
    <row r="568" spans="1:3" x14ac:dyDescent="0.35">
      <c r="A568" s="1">
        <v>42739</v>
      </c>
      <c r="B568">
        <f>COUNTIF(Overall!A:A, "2017-01-01")</f>
        <v>0</v>
      </c>
      <c r="C568" s="4">
        <f t="shared" si="8"/>
        <v>0</v>
      </c>
    </row>
    <row r="569" spans="1:3" x14ac:dyDescent="0.35">
      <c r="A569" s="1">
        <v>42740</v>
      </c>
      <c r="B569">
        <f>COUNTIF(Overall!A:A, "2017-01-01")</f>
        <v>0</v>
      </c>
      <c r="C569" s="4">
        <f t="shared" si="8"/>
        <v>0</v>
      </c>
    </row>
    <row r="570" spans="1:3" x14ac:dyDescent="0.35">
      <c r="A570" s="1">
        <v>42741</v>
      </c>
      <c r="B570">
        <f>COUNTIF(Overall!A:A, "2017-01-01")</f>
        <v>0</v>
      </c>
      <c r="C570" s="4">
        <f t="shared" si="8"/>
        <v>0</v>
      </c>
    </row>
    <row r="571" spans="1:3" x14ac:dyDescent="0.35">
      <c r="A571" s="1">
        <v>42742</v>
      </c>
      <c r="B571">
        <f>COUNTIF(Overall!A:A, "2017-01-01")</f>
        <v>0</v>
      </c>
      <c r="C571" s="4">
        <f t="shared" si="8"/>
        <v>0</v>
      </c>
    </row>
    <row r="572" spans="1:3" x14ac:dyDescent="0.35">
      <c r="A572" s="1">
        <v>42743</v>
      </c>
      <c r="B572">
        <f>COUNTIF(Overall!A:A, "2017-01-01")</f>
        <v>0</v>
      </c>
      <c r="C572" s="4">
        <f t="shared" si="8"/>
        <v>0</v>
      </c>
    </row>
    <row r="573" spans="1:3" x14ac:dyDescent="0.35">
      <c r="A573" s="1">
        <v>42744</v>
      </c>
      <c r="B573">
        <f>COUNTIF(Overall!A:A, "2017-01-01")</f>
        <v>0</v>
      </c>
      <c r="C573" s="4">
        <f t="shared" si="8"/>
        <v>0</v>
      </c>
    </row>
    <row r="574" spans="1:3" x14ac:dyDescent="0.35">
      <c r="A574" s="1">
        <v>42745</v>
      </c>
      <c r="B574">
        <f>COUNTIF(Overall!A:A, "2017-01-01")</f>
        <v>0</v>
      </c>
      <c r="C574" s="4">
        <f t="shared" si="8"/>
        <v>0</v>
      </c>
    </row>
    <row r="575" spans="1:3" x14ac:dyDescent="0.35">
      <c r="A575" s="1">
        <v>42746</v>
      </c>
      <c r="B575">
        <f>COUNTIF(Overall!A:A, "2017-01-01")</f>
        <v>0</v>
      </c>
      <c r="C575" s="4">
        <f t="shared" si="8"/>
        <v>0</v>
      </c>
    </row>
    <row r="576" spans="1:3" x14ac:dyDescent="0.35">
      <c r="A576" s="1">
        <v>42747</v>
      </c>
      <c r="B576">
        <f>COUNTIF(Overall!A:A, "2017-01-01")</f>
        <v>0</v>
      </c>
      <c r="C576" s="4">
        <f t="shared" si="8"/>
        <v>0</v>
      </c>
    </row>
    <row r="577" spans="1:3" x14ac:dyDescent="0.35">
      <c r="A577" s="1">
        <v>42748</v>
      </c>
      <c r="B577">
        <f>COUNTIF(Overall!A:A, "2017-01-01")</f>
        <v>0</v>
      </c>
      <c r="C577" s="4">
        <f t="shared" si="8"/>
        <v>0</v>
      </c>
    </row>
    <row r="578" spans="1:3" x14ac:dyDescent="0.35">
      <c r="A578" s="1">
        <v>42749</v>
      </c>
      <c r="B578">
        <f>COUNTIF(Overall!A:A, "2017-01-01")</f>
        <v>0</v>
      </c>
      <c r="C578" s="4">
        <f t="shared" si="8"/>
        <v>0</v>
      </c>
    </row>
    <row r="579" spans="1:3" x14ac:dyDescent="0.35">
      <c r="A579" s="1">
        <v>42750</v>
      </c>
      <c r="B579">
        <f>COUNTIF(Overall!A:A, "2017-01-01")</f>
        <v>0</v>
      </c>
      <c r="C579" s="4">
        <f t="shared" si="8"/>
        <v>0</v>
      </c>
    </row>
    <row r="580" spans="1:3" x14ac:dyDescent="0.35">
      <c r="A580" s="1">
        <v>42751</v>
      </c>
      <c r="B580">
        <f>COUNTIF(Overall!A:A, "2017-01-01")</f>
        <v>0</v>
      </c>
      <c r="C580" s="4">
        <f t="shared" si="8"/>
        <v>0</v>
      </c>
    </row>
    <row r="581" spans="1:3" x14ac:dyDescent="0.35">
      <c r="A581" s="1">
        <v>42752</v>
      </c>
      <c r="B581">
        <f>COUNTIF(Overall!A:A, "2017-01-01")</f>
        <v>0</v>
      </c>
      <c r="C581" s="4">
        <f t="shared" si="8"/>
        <v>0</v>
      </c>
    </row>
    <row r="582" spans="1:3" x14ac:dyDescent="0.35">
      <c r="A582" s="1">
        <v>42753</v>
      </c>
      <c r="B582">
        <f>COUNTIF(Overall!A:A, "2017-01-01")</f>
        <v>0</v>
      </c>
      <c r="C582" s="4">
        <f t="shared" si="8"/>
        <v>0</v>
      </c>
    </row>
    <row r="583" spans="1:3" x14ac:dyDescent="0.35">
      <c r="A583" s="1">
        <v>42754</v>
      </c>
      <c r="B583">
        <f>COUNTIF(Overall!A:A, "2017-01-01")</f>
        <v>0</v>
      </c>
      <c r="C583" s="4">
        <f t="shared" si="8"/>
        <v>0</v>
      </c>
    </row>
    <row r="584" spans="1:3" x14ac:dyDescent="0.35">
      <c r="A584" s="1">
        <v>42755</v>
      </c>
      <c r="B584">
        <f>COUNTIF(Overall!A:A, "2017-01-20")</f>
        <v>1</v>
      </c>
      <c r="C584" s="4">
        <f t="shared" ref="C584:C647" si="9">AVERAGE(B578:B584)</f>
        <v>0.14285714285714285</v>
      </c>
    </row>
    <row r="585" spans="1:3" x14ac:dyDescent="0.35">
      <c r="A585" s="1">
        <v>42756</v>
      </c>
      <c r="B585">
        <f>COUNTIF(Overall!A:A, "2017-01-01")</f>
        <v>0</v>
      </c>
      <c r="C585" s="4">
        <f t="shared" si="9"/>
        <v>0.14285714285714285</v>
      </c>
    </row>
    <row r="586" spans="1:3" x14ac:dyDescent="0.35">
      <c r="A586" s="1">
        <v>42757</v>
      </c>
      <c r="B586">
        <f>COUNTIF(Overall!A:A, "2017-01-01")</f>
        <v>0</v>
      </c>
      <c r="C586" s="4">
        <f t="shared" si="9"/>
        <v>0.14285714285714285</v>
      </c>
    </row>
    <row r="587" spans="1:3" x14ac:dyDescent="0.35">
      <c r="A587" s="1">
        <v>42758</v>
      </c>
      <c r="B587">
        <f>COUNTIF(Overall!A:A, "2017-01-01")</f>
        <v>0</v>
      </c>
      <c r="C587" s="4">
        <f t="shared" si="9"/>
        <v>0.14285714285714285</v>
      </c>
    </row>
    <row r="588" spans="1:3" x14ac:dyDescent="0.35">
      <c r="A588" s="1">
        <v>42759</v>
      </c>
      <c r="B588">
        <f>COUNTIF(Overall!A:A, "2017-01-01")</f>
        <v>0</v>
      </c>
      <c r="C588" s="4">
        <f t="shared" si="9"/>
        <v>0.14285714285714285</v>
      </c>
    </row>
    <row r="589" spans="1:3" x14ac:dyDescent="0.35">
      <c r="A589" s="1">
        <v>42760</v>
      </c>
      <c r="B589">
        <f>COUNTIF(Overall!A:A, "2017-01-01")</f>
        <v>0</v>
      </c>
      <c r="C589" s="4">
        <f t="shared" si="9"/>
        <v>0.14285714285714285</v>
      </c>
    </row>
    <row r="590" spans="1:3" x14ac:dyDescent="0.35">
      <c r="A590" s="1">
        <v>42761</v>
      </c>
      <c r="B590">
        <f>COUNTIF(Overall!A:A, "2017-01-01")</f>
        <v>0</v>
      </c>
      <c r="C590" s="4">
        <f t="shared" si="9"/>
        <v>0.14285714285714285</v>
      </c>
    </row>
    <row r="591" spans="1:3" x14ac:dyDescent="0.35">
      <c r="A591" s="1">
        <v>42762</v>
      </c>
      <c r="B591">
        <f>COUNTIF(Overall!A:A, "2017-01-01")</f>
        <v>0</v>
      </c>
      <c r="C591" s="4">
        <f t="shared" si="9"/>
        <v>0</v>
      </c>
    </row>
    <row r="592" spans="1:3" x14ac:dyDescent="0.35">
      <c r="A592" s="1">
        <v>42763</v>
      </c>
      <c r="B592">
        <f>COUNTIF(Overall!A:A, "2017-01-28")</f>
        <v>0</v>
      </c>
      <c r="C592" s="4">
        <f t="shared" si="9"/>
        <v>0</v>
      </c>
    </row>
    <row r="593" spans="1:3" x14ac:dyDescent="0.35">
      <c r="A593" s="1">
        <v>42764</v>
      </c>
      <c r="B593">
        <f>COUNTIF(Overall!A:A, "2017-01-01")</f>
        <v>0</v>
      </c>
      <c r="C593" s="4">
        <f t="shared" si="9"/>
        <v>0</v>
      </c>
    </row>
    <row r="594" spans="1:3" x14ac:dyDescent="0.35">
      <c r="A594" s="1">
        <v>42765</v>
      </c>
      <c r="B594">
        <f>COUNTIF(Overall!A:A, "2017-01-01")</f>
        <v>0</v>
      </c>
      <c r="C594" s="4">
        <f t="shared" si="9"/>
        <v>0</v>
      </c>
    </row>
    <row r="595" spans="1:3" x14ac:dyDescent="0.35">
      <c r="A595" s="1">
        <v>42766</v>
      </c>
      <c r="B595">
        <f>COUNTIF(Overall!A:A, "2017-01-01")</f>
        <v>0</v>
      </c>
      <c r="C595" s="4">
        <f t="shared" si="9"/>
        <v>0</v>
      </c>
    </row>
    <row r="596" spans="1:3" x14ac:dyDescent="0.35">
      <c r="A596" s="1">
        <v>42767</v>
      </c>
      <c r="B596">
        <f>COUNTIF(Overall!A:A, "2017-01-01")</f>
        <v>0</v>
      </c>
      <c r="C596" s="4">
        <f t="shared" si="9"/>
        <v>0</v>
      </c>
    </row>
    <row r="597" spans="1:3" x14ac:dyDescent="0.35">
      <c r="A597" s="1">
        <v>42768</v>
      </c>
      <c r="B597">
        <f>COUNTIF(Overall!A:A, "2017-01-01")</f>
        <v>0</v>
      </c>
      <c r="C597" s="4">
        <f t="shared" si="9"/>
        <v>0</v>
      </c>
    </row>
    <row r="598" spans="1:3" x14ac:dyDescent="0.35">
      <c r="A598" s="1">
        <v>42769</v>
      </c>
      <c r="B598">
        <f>COUNTIF(Overall!A:A, "2017-01-01")</f>
        <v>0</v>
      </c>
      <c r="C598" s="4">
        <f t="shared" si="9"/>
        <v>0</v>
      </c>
    </row>
    <row r="599" spans="1:3" x14ac:dyDescent="0.35">
      <c r="A599" s="1">
        <v>42770</v>
      </c>
      <c r="B599">
        <f>COUNTIF(Overall!A:A, "2017-01-01")</f>
        <v>0</v>
      </c>
      <c r="C599" s="4">
        <f t="shared" si="9"/>
        <v>0</v>
      </c>
    </row>
    <row r="600" spans="1:3" x14ac:dyDescent="0.35">
      <c r="A600" s="1">
        <v>42771</v>
      </c>
      <c r="B600">
        <f>COUNTIF(Overall!A:A, "2017-01-01")</f>
        <v>0</v>
      </c>
      <c r="C600" s="4">
        <f t="shared" si="9"/>
        <v>0</v>
      </c>
    </row>
    <row r="601" spans="1:3" x14ac:dyDescent="0.35">
      <c r="A601" s="1">
        <v>42772</v>
      </c>
      <c r="B601">
        <f>COUNTIF(Overall!A:A, "2017-01-01")</f>
        <v>0</v>
      </c>
      <c r="C601" s="4">
        <f t="shared" si="9"/>
        <v>0</v>
      </c>
    </row>
    <row r="602" spans="1:3" x14ac:dyDescent="0.35">
      <c r="A602" s="1">
        <v>42773</v>
      </c>
      <c r="B602">
        <f>COUNTIF(Overall!A:A, "2017-01-01")</f>
        <v>0</v>
      </c>
      <c r="C602" s="4">
        <f t="shared" si="9"/>
        <v>0</v>
      </c>
    </row>
    <row r="603" spans="1:3" x14ac:dyDescent="0.35">
      <c r="A603" s="1">
        <v>42774</v>
      </c>
      <c r="B603">
        <f>COUNTIF(Overall!A:A, "2017-01-01")</f>
        <v>0</v>
      </c>
      <c r="C603" s="4">
        <f t="shared" si="9"/>
        <v>0</v>
      </c>
    </row>
    <row r="604" spans="1:3" x14ac:dyDescent="0.35">
      <c r="A604" s="1">
        <v>42775</v>
      </c>
      <c r="B604">
        <f>COUNTIF(Overall!A:A, "2017-01-01")</f>
        <v>0</v>
      </c>
      <c r="C604" s="4">
        <f t="shared" si="9"/>
        <v>0</v>
      </c>
    </row>
    <row r="605" spans="1:3" x14ac:dyDescent="0.35">
      <c r="A605" s="1">
        <v>42776</v>
      </c>
      <c r="B605">
        <f>COUNTIF(Overall!A:A, "2017-01-01")</f>
        <v>0</v>
      </c>
      <c r="C605" s="4">
        <f t="shared" si="9"/>
        <v>0</v>
      </c>
    </row>
    <row r="606" spans="1:3" x14ac:dyDescent="0.35">
      <c r="A606" s="1">
        <v>42777</v>
      </c>
      <c r="B606">
        <f>COUNTIF(Overall!A:A, "2017-01-01")</f>
        <v>0</v>
      </c>
      <c r="C606" s="4">
        <f t="shared" si="9"/>
        <v>0</v>
      </c>
    </row>
    <row r="607" spans="1:3" x14ac:dyDescent="0.35">
      <c r="A607" s="1">
        <v>42778</v>
      </c>
      <c r="B607">
        <f>COUNTIF(Overall!A:A, "2017-01-01")</f>
        <v>0</v>
      </c>
      <c r="C607" s="4">
        <f t="shared" si="9"/>
        <v>0</v>
      </c>
    </row>
    <row r="608" spans="1:3" x14ac:dyDescent="0.35">
      <c r="A608" s="1">
        <v>42779</v>
      </c>
      <c r="B608">
        <f>COUNTIF(Overall!A:A, "2017-01-01")</f>
        <v>0</v>
      </c>
      <c r="C608" s="4">
        <f t="shared" si="9"/>
        <v>0</v>
      </c>
    </row>
    <row r="609" spans="1:3" x14ac:dyDescent="0.35">
      <c r="A609" s="1">
        <v>42780</v>
      </c>
      <c r="B609">
        <f>COUNTIF(Overall!A:A, "2017-01-01")</f>
        <v>0</v>
      </c>
      <c r="C609" s="4">
        <f t="shared" si="9"/>
        <v>0</v>
      </c>
    </row>
    <row r="610" spans="1:3" x14ac:dyDescent="0.35">
      <c r="A610" s="1">
        <v>42781</v>
      </c>
      <c r="B610">
        <f>COUNTIF(Overall!A:A, "2017-01-01")</f>
        <v>0</v>
      </c>
      <c r="C610" s="4">
        <f t="shared" si="9"/>
        <v>0</v>
      </c>
    </row>
    <row r="611" spans="1:3" x14ac:dyDescent="0.35">
      <c r="A611" s="1">
        <v>42782</v>
      </c>
      <c r="B611">
        <f>COUNTIF(Overall!A:A, "2017-01-01")</f>
        <v>0</v>
      </c>
      <c r="C611" s="4">
        <f t="shared" si="9"/>
        <v>0</v>
      </c>
    </row>
    <row r="612" spans="1:3" x14ac:dyDescent="0.35">
      <c r="A612" s="1">
        <v>42783</v>
      </c>
      <c r="B612">
        <f>COUNTIF(Overall!A:A, "2017-01-01")</f>
        <v>0</v>
      </c>
      <c r="C612" s="4">
        <f t="shared" si="9"/>
        <v>0</v>
      </c>
    </row>
    <row r="613" spans="1:3" x14ac:dyDescent="0.35">
      <c r="A613" s="1">
        <v>42784</v>
      </c>
      <c r="B613">
        <f>COUNTIF(Overall!A:A, "2017-02-18")</f>
        <v>1</v>
      </c>
      <c r="C613" s="4">
        <f t="shared" si="9"/>
        <v>0.14285714285714285</v>
      </c>
    </row>
    <row r="614" spans="1:3" x14ac:dyDescent="0.35">
      <c r="A614" s="1">
        <v>42785</v>
      </c>
      <c r="B614">
        <f>COUNTIF(Overall!A:A, "2017-01-01")</f>
        <v>0</v>
      </c>
      <c r="C614" s="4">
        <f t="shared" si="9"/>
        <v>0.14285714285714285</v>
      </c>
    </row>
    <row r="615" spans="1:3" x14ac:dyDescent="0.35">
      <c r="A615" s="1">
        <v>42786</v>
      </c>
      <c r="B615">
        <f>COUNTIF(Overall!A:A, "2017-01-01")</f>
        <v>0</v>
      </c>
      <c r="C615" s="4">
        <f t="shared" si="9"/>
        <v>0.14285714285714285</v>
      </c>
    </row>
    <row r="616" spans="1:3" x14ac:dyDescent="0.35">
      <c r="A616" s="1">
        <v>42787</v>
      </c>
      <c r="B616">
        <f>COUNTIF(Overall!A:A, "2017-01-01")</f>
        <v>0</v>
      </c>
      <c r="C616" s="4">
        <f t="shared" si="9"/>
        <v>0.14285714285714285</v>
      </c>
    </row>
    <row r="617" spans="1:3" x14ac:dyDescent="0.35">
      <c r="A617" s="1">
        <v>42788</v>
      </c>
      <c r="B617">
        <f>COUNTIF(Overall!A:A, "2017-01-01")</f>
        <v>0</v>
      </c>
      <c r="C617" s="4">
        <f t="shared" si="9"/>
        <v>0.14285714285714285</v>
      </c>
    </row>
    <row r="618" spans="1:3" x14ac:dyDescent="0.35">
      <c r="A618" s="1">
        <v>42789</v>
      </c>
      <c r="B618">
        <f>COUNTIF(Overall!A:A, "2017-01-01")</f>
        <v>0</v>
      </c>
      <c r="C618" s="4">
        <f t="shared" si="9"/>
        <v>0.14285714285714285</v>
      </c>
    </row>
    <row r="619" spans="1:3" x14ac:dyDescent="0.35">
      <c r="A619" s="1">
        <v>42790</v>
      </c>
      <c r="B619">
        <f>COUNTIF(Overall!A:A, "2017-01-01")</f>
        <v>0</v>
      </c>
      <c r="C619" s="4">
        <f t="shared" si="9"/>
        <v>0.14285714285714285</v>
      </c>
    </row>
    <row r="620" spans="1:3" x14ac:dyDescent="0.35">
      <c r="A620" s="1">
        <v>42791</v>
      </c>
      <c r="B620">
        <f>COUNTIF(Overall!A:A, "2017-01-01")</f>
        <v>0</v>
      </c>
      <c r="C620" s="4">
        <f t="shared" si="9"/>
        <v>0</v>
      </c>
    </row>
    <row r="621" spans="1:3" x14ac:dyDescent="0.35">
      <c r="A621" s="1">
        <v>42792</v>
      </c>
      <c r="B621">
        <f>COUNTIF(Overall!A:A, "2017-01-01")</f>
        <v>0</v>
      </c>
      <c r="C621" s="4">
        <f t="shared" si="9"/>
        <v>0</v>
      </c>
    </row>
    <row r="622" spans="1:3" x14ac:dyDescent="0.35">
      <c r="A622" s="1">
        <v>42793</v>
      </c>
      <c r="B622">
        <f>COUNTIF(Overall!A:A, "2017-01-01")</f>
        <v>0</v>
      </c>
      <c r="C622" s="4">
        <f t="shared" si="9"/>
        <v>0</v>
      </c>
    </row>
    <row r="623" spans="1:3" x14ac:dyDescent="0.35">
      <c r="A623" s="1">
        <v>42794</v>
      </c>
      <c r="B623">
        <f>COUNTIF(Overall!A:A, "2017-01-01")</f>
        <v>0</v>
      </c>
      <c r="C623" s="4">
        <f t="shared" si="9"/>
        <v>0</v>
      </c>
    </row>
    <row r="624" spans="1:3" x14ac:dyDescent="0.35">
      <c r="A624" s="1">
        <v>42795</v>
      </c>
      <c r="B624">
        <f>COUNTIF(Overall!A:A, "2017-01-01")</f>
        <v>0</v>
      </c>
      <c r="C624" s="4">
        <f t="shared" si="9"/>
        <v>0</v>
      </c>
    </row>
    <row r="625" spans="1:3" x14ac:dyDescent="0.35">
      <c r="A625" s="1">
        <v>42796</v>
      </c>
      <c r="B625">
        <f>COUNTIF(Overall!A:A, "2017-01-01")</f>
        <v>0</v>
      </c>
      <c r="C625" s="4">
        <f t="shared" si="9"/>
        <v>0</v>
      </c>
    </row>
    <row r="626" spans="1:3" x14ac:dyDescent="0.35">
      <c r="A626" s="1">
        <v>42797</v>
      </c>
      <c r="B626">
        <f>COUNTIF(Overall!A:A, "2017-01-01")</f>
        <v>0</v>
      </c>
      <c r="C626" s="4">
        <f t="shared" si="9"/>
        <v>0</v>
      </c>
    </row>
    <row r="627" spans="1:3" x14ac:dyDescent="0.35">
      <c r="A627" s="1">
        <v>42798</v>
      </c>
      <c r="B627">
        <f>COUNTIF(Overall!A:A, "2017-01-01")</f>
        <v>0</v>
      </c>
      <c r="C627" s="4">
        <f t="shared" si="9"/>
        <v>0</v>
      </c>
    </row>
    <row r="628" spans="1:3" x14ac:dyDescent="0.35">
      <c r="A628" s="1">
        <v>42799</v>
      </c>
      <c r="B628">
        <f>COUNTIF(Overall!A:A, "2017-01-01")</f>
        <v>0</v>
      </c>
      <c r="C628" s="4">
        <f t="shared" si="9"/>
        <v>0</v>
      </c>
    </row>
    <row r="629" spans="1:3" x14ac:dyDescent="0.35">
      <c r="A629" s="1">
        <v>42800</v>
      </c>
      <c r="B629">
        <f>COUNTIF(Overall!A:A, "2017-01-01")</f>
        <v>0</v>
      </c>
      <c r="C629" s="4">
        <f t="shared" si="9"/>
        <v>0</v>
      </c>
    </row>
    <row r="630" spans="1:3" x14ac:dyDescent="0.35">
      <c r="A630" s="1">
        <v>42801</v>
      </c>
      <c r="B630">
        <f>COUNTIF(Overall!A:A, "2017-01-01")</f>
        <v>0</v>
      </c>
      <c r="C630" s="4">
        <f t="shared" si="9"/>
        <v>0</v>
      </c>
    </row>
    <row r="631" spans="1:3" x14ac:dyDescent="0.35">
      <c r="A631" s="1">
        <v>42802</v>
      </c>
      <c r="B631">
        <f>COUNTIF(Overall!A:A, "2017-01-01")</f>
        <v>0</v>
      </c>
      <c r="C631" s="4">
        <f t="shared" si="9"/>
        <v>0</v>
      </c>
    </row>
    <row r="632" spans="1:3" x14ac:dyDescent="0.35">
      <c r="A632" s="1">
        <v>42803</v>
      </c>
      <c r="B632">
        <f>COUNTIF(Overall!A:A, "2017-01-01")</f>
        <v>0</v>
      </c>
      <c r="C632" s="4">
        <f t="shared" si="9"/>
        <v>0</v>
      </c>
    </row>
    <row r="633" spans="1:3" x14ac:dyDescent="0.35">
      <c r="A633" s="1">
        <v>42804</v>
      </c>
      <c r="B633">
        <f>COUNTIF(Overall!A:A, "2017-01-01")</f>
        <v>0</v>
      </c>
      <c r="C633" s="4">
        <f t="shared" si="9"/>
        <v>0</v>
      </c>
    </row>
    <row r="634" spans="1:3" x14ac:dyDescent="0.35">
      <c r="A634" s="1">
        <v>42805</v>
      </c>
      <c r="B634">
        <f>COUNTIF(Overall!A:A, "2017-01-01")</f>
        <v>0</v>
      </c>
      <c r="C634" s="4">
        <f t="shared" si="9"/>
        <v>0</v>
      </c>
    </row>
    <row r="635" spans="1:3" x14ac:dyDescent="0.35">
      <c r="A635" s="1">
        <v>42806</v>
      </c>
      <c r="B635">
        <f>COUNTIF(Overall!A:A, "2017-01-01")</f>
        <v>0</v>
      </c>
      <c r="C635" s="4">
        <f t="shared" si="9"/>
        <v>0</v>
      </c>
    </row>
    <row r="636" spans="1:3" x14ac:dyDescent="0.35">
      <c r="A636" s="1">
        <v>42807</v>
      </c>
      <c r="B636">
        <f>COUNTIF(Overall!A:A, "2017-01-01")</f>
        <v>0</v>
      </c>
      <c r="C636" s="4">
        <f t="shared" si="9"/>
        <v>0</v>
      </c>
    </row>
    <row r="637" spans="1:3" x14ac:dyDescent="0.35">
      <c r="A637" s="1">
        <v>42808</v>
      </c>
      <c r="B637">
        <f>COUNTIF(Overall!A:A, "2017-01-01")</f>
        <v>0</v>
      </c>
      <c r="C637" s="4">
        <f t="shared" si="9"/>
        <v>0</v>
      </c>
    </row>
    <row r="638" spans="1:3" x14ac:dyDescent="0.35">
      <c r="A638" s="1">
        <v>42809</v>
      </c>
      <c r="B638">
        <f>COUNTIF(Overall!A:A, "2017-03-15")</f>
        <v>1</v>
      </c>
      <c r="C638" s="4">
        <f t="shared" si="9"/>
        <v>0.14285714285714285</v>
      </c>
    </row>
    <row r="639" spans="1:3" x14ac:dyDescent="0.35">
      <c r="A639" s="1">
        <v>42810</v>
      </c>
      <c r="B639">
        <f>COUNTIF(Overall!A:A, "2017-01-01")</f>
        <v>0</v>
      </c>
      <c r="C639" s="4">
        <f t="shared" si="9"/>
        <v>0.14285714285714285</v>
      </c>
    </row>
    <row r="640" spans="1:3" x14ac:dyDescent="0.35">
      <c r="A640" s="1">
        <v>42811</v>
      </c>
      <c r="B640">
        <f>COUNTIF(Overall!A:A, "2017-01-01")</f>
        <v>0</v>
      </c>
      <c r="C640" s="4">
        <f t="shared" si="9"/>
        <v>0.14285714285714285</v>
      </c>
    </row>
    <row r="641" spans="1:3" x14ac:dyDescent="0.35">
      <c r="A641" s="1">
        <v>42812</v>
      </c>
      <c r="B641">
        <f>COUNTIF(Overall!A:A, "2017-01-01")</f>
        <v>0</v>
      </c>
      <c r="C641" s="4">
        <f t="shared" si="9"/>
        <v>0.14285714285714285</v>
      </c>
    </row>
    <row r="642" spans="1:3" x14ac:dyDescent="0.35">
      <c r="A642" s="1">
        <v>42813</v>
      </c>
      <c r="B642">
        <f>COUNTIF(Overall!A:A, "2017-01-01")</f>
        <v>0</v>
      </c>
      <c r="C642" s="4">
        <f t="shared" si="9"/>
        <v>0.14285714285714285</v>
      </c>
    </row>
    <row r="643" spans="1:3" x14ac:dyDescent="0.35">
      <c r="A643" s="1">
        <v>42814</v>
      </c>
      <c r="B643">
        <f>COUNTIF(Overall!A:A, "2017-03-20")</f>
        <v>1</v>
      </c>
      <c r="C643" s="4">
        <f t="shared" si="9"/>
        <v>0.2857142857142857</v>
      </c>
    </row>
    <row r="644" spans="1:3" x14ac:dyDescent="0.35">
      <c r="A644" s="1">
        <v>42815</v>
      </c>
      <c r="B644">
        <f>COUNTIF(Overall!A:A, "2017-01-01")</f>
        <v>0</v>
      </c>
      <c r="C644" s="4">
        <f t="shared" si="9"/>
        <v>0.2857142857142857</v>
      </c>
    </row>
    <row r="645" spans="1:3" x14ac:dyDescent="0.35">
      <c r="A645" s="1">
        <v>42816</v>
      </c>
      <c r="B645">
        <f>COUNTIF(Overall!A:A, "2017-01-01")</f>
        <v>0</v>
      </c>
      <c r="C645" s="4">
        <f t="shared" si="9"/>
        <v>0.14285714285714285</v>
      </c>
    </row>
    <row r="646" spans="1:3" x14ac:dyDescent="0.35">
      <c r="A646" s="1">
        <v>42817</v>
      </c>
      <c r="B646">
        <f>COUNTIF(Overall!A:A, "2017-01-01")</f>
        <v>0</v>
      </c>
      <c r="C646" s="4">
        <f t="shared" si="9"/>
        <v>0.14285714285714285</v>
      </c>
    </row>
    <row r="647" spans="1:3" x14ac:dyDescent="0.35">
      <c r="A647" s="1">
        <v>42818</v>
      </c>
      <c r="B647">
        <f>COUNTIF(Overall!A:A, "2017-01-01")</f>
        <v>0</v>
      </c>
      <c r="C647" s="4">
        <f t="shared" si="9"/>
        <v>0.14285714285714285</v>
      </c>
    </row>
    <row r="648" spans="1:3" x14ac:dyDescent="0.35">
      <c r="A648" s="1">
        <v>42819</v>
      </c>
      <c r="B648">
        <f>COUNTIF(Overall!A:A, "2017-01-01")</f>
        <v>0</v>
      </c>
      <c r="C648" s="4">
        <f t="shared" ref="C648:C711" si="10">AVERAGE(B642:B648)</f>
        <v>0.14285714285714285</v>
      </c>
    </row>
    <row r="649" spans="1:3" x14ac:dyDescent="0.35">
      <c r="A649" s="1">
        <v>42820</v>
      </c>
      <c r="B649">
        <f>COUNTIF(Overall!A:A, "2017-01-01")</f>
        <v>0</v>
      </c>
      <c r="C649" s="4">
        <f t="shared" si="10"/>
        <v>0.14285714285714285</v>
      </c>
    </row>
    <row r="650" spans="1:3" x14ac:dyDescent="0.35">
      <c r="A650" s="1">
        <v>42821</v>
      </c>
      <c r="B650">
        <f>COUNTIF(Overall!A:A, "2017-01-01")</f>
        <v>0</v>
      </c>
      <c r="C650" s="4">
        <f t="shared" si="10"/>
        <v>0</v>
      </c>
    </row>
    <row r="651" spans="1:3" x14ac:dyDescent="0.35">
      <c r="A651" s="1">
        <v>42822</v>
      </c>
      <c r="B651">
        <f>COUNTIF(Overall!A:A, "2017-01-01")</f>
        <v>0</v>
      </c>
      <c r="C651" s="4">
        <f t="shared" si="10"/>
        <v>0</v>
      </c>
    </row>
    <row r="652" spans="1:3" x14ac:dyDescent="0.35">
      <c r="A652" s="1">
        <v>42823</v>
      </c>
      <c r="B652">
        <f>COUNTIF(Overall!A:A, "2017-01-01")</f>
        <v>0</v>
      </c>
      <c r="C652" s="4">
        <f t="shared" si="10"/>
        <v>0</v>
      </c>
    </row>
    <row r="653" spans="1:3" x14ac:dyDescent="0.35">
      <c r="A653" s="1">
        <v>42824</v>
      </c>
      <c r="B653">
        <f>COUNTIF(Overall!A:A, "2017-01-01")</f>
        <v>0</v>
      </c>
      <c r="C653" s="4">
        <f t="shared" si="10"/>
        <v>0</v>
      </c>
    </row>
    <row r="654" spans="1:3" x14ac:dyDescent="0.35">
      <c r="A654" s="1">
        <v>42825</v>
      </c>
      <c r="B654">
        <f>COUNTIF(Overall!A:A, "2017-01-01")</f>
        <v>0</v>
      </c>
      <c r="C654" s="4">
        <f t="shared" si="10"/>
        <v>0</v>
      </c>
    </row>
    <row r="655" spans="1:3" x14ac:dyDescent="0.35">
      <c r="A655" s="1">
        <v>42826</v>
      </c>
      <c r="B655">
        <f>COUNTIF(Overall!A:A, "2017-01-01")</f>
        <v>0</v>
      </c>
      <c r="C655" s="4">
        <f t="shared" si="10"/>
        <v>0</v>
      </c>
    </row>
    <row r="656" spans="1:3" x14ac:dyDescent="0.35">
      <c r="A656" s="1">
        <v>42827</v>
      </c>
      <c r="B656">
        <f>COUNTIF(Overall!A:A, "2017-01-01")</f>
        <v>0</v>
      </c>
      <c r="C656" s="4">
        <f t="shared" si="10"/>
        <v>0</v>
      </c>
    </row>
    <row r="657" spans="1:3" x14ac:dyDescent="0.35">
      <c r="A657" s="1">
        <v>42828</v>
      </c>
      <c r="B657">
        <f>COUNTIF(Overall!A:A, "2017-01-01")</f>
        <v>0</v>
      </c>
      <c r="C657" s="4">
        <f t="shared" si="10"/>
        <v>0</v>
      </c>
    </row>
    <row r="658" spans="1:3" x14ac:dyDescent="0.35">
      <c r="A658" s="1">
        <v>42829</v>
      </c>
      <c r="B658">
        <f>COUNTIF(Overall!A:A, "2017-01-01")</f>
        <v>0</v>
      </c>
      <c r="C658" s="4">
        <f t="shared" si="10"/>
        <v>0</v>
      </c>
    </row>
    <row r="659" spans="1:3" x14ac:dyDescent="0.35">
      <c r="A659" s="1">
        <v>42830</v>
      </c>
      <c r="B659">
        <f>COUNTIF(Overall!A:A, "2017-01-01")</f>
        <v>0</v>
      </c>
      <c r="C659" s="4">
        <f t="shared" si="10"/>
        <v>0</v>
      </c>
    </row>
    <row r="660" spans="1:3" x14ac:dyDescent="0.35">
      <c r="A660" s="1">
        <v>42831</v>
      </c>
      <c r="B660">
        <f>COUNTIF(Overall!A:A, "2017-01-01")</f>
        <v>0</v>
      </c>
      <c r="C660" s="4">
        <f t="shared" si="10"/>
        <v>0</v>
      </c>
    </row>
    <row r="661" spans="1:3" x14ac:dyDescent="0.35">
      <c r="A661" s="1">
        <v>42832</v>
      </c>
      <c r="B661">
        <f>COUNTIF(Overall!A:A, "2017-01-01")</f>
        <v>0</v>
      </c>
      <c r="C661" s="4">
        <f t="shared" si="10"/>
        <v>0</v>
      </c>
    </row>
    <row r="662" spans="1:3" x14ac:dyDescent="0.35">
      <c r="A662" s="1">
        <v>42833</v>
      </c>
      <c r="B662">
        <f>COUNTIF(Overall!A:A, "2017-01-01")</f>
        <v>0</v>
      </c>
      <c r="C662" s="4">
        <f t="shared" si="10"/>
        <v>0</v>
      </c>
    </row>
    <row r="663" spans="1:3" x14ac:dyDescent="0.35">
      <c r="A663" s="1">
        <v>42834</v>
      </c>
      <c r="B663">
        <f>COUNTIF(Overall!A:A, "2017-01-01")</f>
        <v>0</v>
      </c>
      <c r="C663" s="4">
        <f t="shared" si="10"/>
        <v>0</v>
      </c>
    </row>
    <row r="664" spans="1:3" x14ac:dyDescent="0.35">
      <c r="A664" s="1">
        <v>42835</v>
      </c>
      <c r="B664">
        <f>COUNTIF(Overall!A:A, "2017-01-01")</f>
        <v>0</v>
      </c>
      <c r="C664" s="4">
        <f t="shared" si="10"/>
        <v>0</v>
      </c>
    </row>
    <row r="665" spans="1:3" x14ac:dyDescent="0.35">
      <c r="A665" s="1">
        <v>42836</v>
      </c>
      <c r="B665">
        <f>COUNTIF(Overall!A:A, "2017-01-01")</f>
        <v>0</v>
      </c>
      <c r="C665" s="4">
        <f t="shared" si="10"/>
        <v>0</v>
      </c>
    </row>
    <row r="666" spans="1:3" x14ac:dyDescent="0.35">
      <c r="A666" s="1">
        <v>42837</v>
      </c>
      <c r="B666">
        <f>COUNTIF(Overall!A:A, "2017-01-01")</f>
        <v>0</v>
      </c>
      <c r="C666" s="4">
        <f t="shared" si="10"/>
        <v>0</v>
      </c>
    </row>
    <row r="667" spans="1:3" x14ac:dyDescent="0.35">
      <c r="A667" s="1">
        <v>42838</v>
      </c>
      <c r="B667">
        <f>COUNTIF(Overall!A:A, "2017-01-01")</f>
        <v>0</v>
      </c>
      <c r="C667" s="4">
        <f t="shared" si="10"/>
        <v>0</v>
      </c>
    </row>
    <row r="668" spans="1:3" x14ac:dyDescent="0.35">
      <c r="A668" s="1">
        <v>42839</v>
      </c>
      <c r="B668">
        <f>COUNTIF(Overall!A:A, "2017-01-01")</f>
        <v>0</v>
      </c>
      <c r="C668" s="4">
        <f t="shared" si="10"/>
        <v>0</v>
      </c>
    </row>
    <row r="669" spans="1:3" x14ac:dyDescent="0.35">
      <c r="A669" s="1">
        <v>42840</v>
      </c>
      <c r="B669">
        <f>COUNTIF(Overall!A:A, "2017-01-01")</f>
        <v>0</v>
      </c>
      <c r="C669" s="4">
        <f t="shared" si="10"/>
        <v>0</v>
      </c>
    </row>
    <row r="670" spans="1:3" x14ac:dyDescent="0.35">
      <c r="A670" s="1">
        <v>42841</v>
      </c>
      <c r="B670">
        <f>COUNTIF(Overall!A:A, "2017-01-01")</f>
        <v>0</v>
      </c>
      <c r="C670" s="4">
        <f t="shared" si="10"/>
        <v>0</v>
      </c>
    </row>
    <row r="671" spans="1:3" x14ac:dyDescent="0.35">
      <c r="A671" s="1">
        <v>42842</v>
      </c>
      <c r="B671">
        <f>COUNTIF(Overall!A:A, "2017-01-01")</f>
        <v>0</v>
      </c>
      <c r="C671" s="4">
        <f t="shared" si="10"/>
        <v>0</v>
      </c>
    </row>
    <row r="672" spans="1:3" x14ac:dyDescent="0.35">
      <c r="A672" s="1">
        <v>42843</v>
      </c>
      <c r="B672">
        <f>COUNTIF(Overall!A:A, "2017-01-01")</f>
        <v>0</v>
      </c>
      <c r="C672" s="4">
        <f t="shared" si="10"/>
        <v>0</v>
      </c>
    </row>
    <row r="673" spans="1:3" x14ac:dyDescent="0.35">
      <c r="A673" s="1">
        <v>42844</v>
      </c>
      <c r="B673">
        <f>COUNTIF(Overall!A:A, "2017-01-01")</f>
        <v>0</v>
      </c>
      <c r="C673" s="4">
        <f t="shared" si="10"/>
        <v>0</v>
      </c>
    </row>
    <row r="674" spans="1:3" x14ac:dyDescent="0.35">
      <c r="A674" s="1">
        <v>42845</v>
      </c>
      <c r="B674">
        <f>COUNTIF(Overall!A:A, "2017-01-01")</f>
        <v>0</v>
      </c>
      <c r="C674" s="4">
        <f t="shared" si="10"/>
        <v>0</v>
      </c>
    </row>
    <row r="675" spans="1:3" x14ac:dyDescent="0.35">
      <c r="A675" s="1">
        <v>42846</v>
      </c>
      <c r="B675">
        <f>COUNTIF(Overall!A:A, "2017-01-01")</f>
        <v>0</v>
      </c>
      <c r="C675" s="4">
        <f t="shared" si="10"/>
        <v>0</v>
      </c>
    </row>
    <row r="676" spans="1:3" x14ac:dyDescent="0.35">
      <c r="A676" s="1">
        <v>42847</v>
      </c>
      <c r="B676">
        <f>COUNTIF(Overall!A:A, "2017-01-01")</f>
        <v>0</v>
      </c>
      <c r="C676" s="4">
        <f t="shared" si="10"/>
        <v>0</v>
      </c>
    </row>
    <row r="677" spans="1:3" x14ac:dyDescent="0.35">
      <c r="A677" s="1">
        <v>42848</v>
      </c>
      <c r="B677">
        <f>COUNTIF(Overall!A:A, "2017-01-01")</f>
        <v>0</v>
      </c>
      <c r="C677" s="4">
        <f t="shared" si="10"/>
        <v>0</v>
      </c>
    </row>
    <row r="678" spans="1:3" x14ac:dyDescent="0.35">
      <c r="A678" s="1">
        <v>42849</v>
      </c>
      <c r="B678">
        <f>COUNTIF(Overall!A:A, "2017-01-01")</f>
        <v>0</v>
      </c>
      <c r="C678" s="4">
        <f t="shared" si="10"/>
        <v>0</v>
      </c>
    </row>
    <row r="679" spans="1:3" x14ac:dyDescent="0.35">
      <c r="A679" s="1">
        <v>42850</v>
      </c>
      <c r="B679">
        <f>COUNTIF(Overall!A:A, "2017-01-01")</f>
        <v>0</v>
      </c>
      <c r="C679" s="4">
        <f t="shared" si="10"/>
        <v>0</v>
      </c>
    </row>
    <row r="680" spans="1:3" x14ac:dyDescent="0.35">
      <c r="A680" s="1">
        <v>42851</v>
      </c>
      <c r="B680">
        <f>COUNTIF(Overall!A:A, "2017-01-01")</f>
        <v>0</v>
      </c>
      <c r="C680" s="4">
        <f t="shared" si="10"/>
        <v>0</v>
      </c>
    </row>
    <row r="681" spans="1:3" x14ac:dyDescent="0.35">
      <c r="A681" s="1">
        <v>42852</v>
      </c>
      <c r="B681">
        <f>COUNTIF(Overall!A:A, "2017-01-01")</f>
        <v>0</v>
      </c>
      <c r="C681" s="4">
        <f t="shared" si="10"/>
        <v>0</v>
      </c>
    </row>
    <row r="682" spans="1:3" x14ac:dyDescent="0.35">
      <c r="A682" s="1">
        <v>42853</v>
      </c>
      <c r="B682">
        <f>COUNTIF(Overall!A:A, "2017-01-01")</f>
        <v>0</v>
      </c>
      <c r="C682" s="4">
        <f t="shared" si="10"/>
        <v>0</v>
      </c>
    </row>
    <row r="683" spans="1:3" x14ac:dyDescent="0.35">
      <c r="A683" s="1">
        <v>42854</v>
      </c>
      <c r="B683">
        <f>COUNTIF(Overall!A:A, "2017-04-29")</f>
        <v>1</v>
      </c>
      <c r="C683" s="4">
        <f t="shared" si="10"/>
        <v>0.14285714285714285</v>
      </c>
    </row>
    <row r="684" spans="1:3" x14ac:dyDescent="0.35">
      <c r="A684" s="1">
        <v>42855</v>
      </c>
      <c r="B684">
        <v>0</v>
      </c>
      <c r="C684" s="4">
        <f t="shared" si="10"/>
        <v>0.14285714285714285</v>
      </c>
    </row>
    <row r="685" spans="1:3" x14ac:dyDescent="0.35">
      <c r="A685" s="1">
        <v>42856</v>
      </c>
      <c r="B685">
        <v>0</v>
      </c>
      <c r="C685" s="4">
        <f t="shared" si="10"/>
        <v>0.14285714285714285</v>
      </c>
    </row>
    <row r="686" spans="1:3" x14ac:dyDescent="0.35">
      <c r="A686" s="1">
        <v>42857</v>
      </c>
      <c r="B686">
        <v>0</v>
      </c>
      <c r="C686" s="4">
        <f t="shared" si="10"/>
        <v>0.14285714285714285</v>
      </c>
    </row>
    <row r="687" spans="1:3" x14ac:dyDescent="0.35">
      <c r="A687" s="1">
        <v>42858</v>
      </c>
      <c r="B687">
        <v>0</v>
      </c>
      <c r="C687" s="4">
        <f t="shared" si="10"/>
        <v>0.14285714285714285</v>
      </c>
    </row>
    <row r="688" spans="1:3" x14ac:dyDescent="0.35">
      <c r="A688" s="1">
        <v>42859</v>
      </c>
      <c r="B688">
        <v>0</v>
      </c>
      <c r="C688" s="4">
        <f t="shared" si="10"/>
        <v>0.14285714285714285</v>
      </c>
    </row>
    <row r="689" spans="1:3" x14ac:dyDescent="0.35">
      <c r="A689" s="1">
        <v>42860</v>
      </c>
      <c r="B689">
        <v>0</v>
      </c>
      <c r="C689" s="4">
        <f t="shared" si="10"/>
        <v>0.14285714285714285</v>
      </c>
    </row>
    <row r="690" spans="1:3" x14ac:dyDescent="0.35">
      <c r="A690" s="1">
        <v>42861</v>
      </c>
      <c r="B690">
        <v>0</v>
      </c>
      <c r="C690" s="4">
        <f t="shared" si="10"/>
        <v>0</v>
      </c>
    </row>
    <row r="691" spans="1:3" x14ac:dyDescent="0.35">
      <c r="A691" s="1">
        <v>42862</v>
      </c>
      <c r="B691">
        <v>0</v>
      </c>
      <c r="C691" s="4">
        <f t="shared" si="10"/>
        <v>0</v>
      </c>
    </row>
    <row r="692" spans="1:3" x14ac:dyDescent="0.35">
      <c r="A692" s="1">
        <v>42863</v>
      </c>
      <c r="B692">
        <v>0</v>
      </c>
      <c r="C692" s="4">
        <f t="shared" si="10"/>
        <v>0</v>
      </c>
    </row>
    <row r="693" spans="1:3" x14ac:dyDescent="0.35">
      <c r="A693" s="1">
        <v>42864</v>
      </c>
      <c r="B693">
        <v>0</v>
      </c>
      <c r="C693" s="4">
        <f t="shared" si="10"/>
        <v>0</v>
      </c>
    </row>
    <row r="694" spans="1:3" x14ac:dyDescent="0.35">
      <c r="A694" s="1">
        <v>42865</v>
      </c>
      <c r="B694">
        <v>0</v>
      </c>
      <c r="C694" s="4">
        <f t="shared" si="10"/>
        <v>0</v>
      </c>
    </row>
    <row r="695" spans="1:3" x14ac:dyDescent="0.35">
      <c r="A695" s="1">
        <v>42866</v>
      </c>
      <c r="B695">
        <v>0</v>
      </c>
      <c r="C695" s="4">
        <f t="shared" si="10"/>
        <v>0</v>
      </c>
    </row>
    <row r="696" spans="1:3" x14ac:dyDescent="0.35">
      <c r="A696" s="1">
        <v>42867</v>
      </c>
      <c r="B696">
        <v>0</v>
      </c>
      <c r="C696" s="4">
        <f t="shared" si="10"/>
        <v>0</v>
      </c>
    </row>
    <row r="697" spans="1:3" x14ac:dyDescent="0.35">
      <c r="A697" s="1">
        <v>42868</v>
      </c>
      <c r="B697">
        <v>0</v>
      </c>
      <c r="C697" s="4">
        <f t="shared" si="10"/>
        <v>0</v>
      </c>
    </row>
    <row r="698" spans="1:3" x14ac:dyDescent="0.35">
      <c r="A698" s="1">
        <v>42869</v>
      </c>
      <c r="B698">
        <v>0</v>
      </c>
      <c r="C698" s="4">
        <f t="shared" si="10"/>
        <v>0</v>
      </c>
    </row>
    <row r="699" spans="1:3" x14ac:dyDescent="0.35">
      <c r="A699" s="1">
        <v>42870</v>
      </c>
      <c r="B699">
        <v>0</v>
      </c>
      <c r="C699" s="4">
        <f t="shared" si="10"/>
        <v>0</v>
      </c>
    </row>
    <row r="700" spans="1:3" x14ac:dyDescent="0.35">
      <c r="A700" s="1">
        <v>42871</v>
      </c>
      <c r="B700">
        <v>0</v>
      </c>
      <c r="C700" s="4">
        <f t="shared" si="10"/>
        <v>0</v>
      </c>
    </row>
    <row r="701" spans="1:3" x14ac:dyDescent="0.35">
      <c r="A701" s="1">
        <v>42872</v>
      </c>
      <c r="B701">
        <v>0</v>
      </c>
      <c r="C701" s="4">
        <f t="shared" si="10"/>
        <v>0</v>
      </c>
    </row>
    <row r="702" spans="1:3" x14ac:dyDescent="0.35">
      <c r="A702" s="1">
        <v>42873</v>
      </c>
      <c r="B702">
        <v>0</v>
      </c>
      <c r="C702" s="4">
        <f t="shared" si="10"/>
        <v>0</v>
      </c>
    </row>
    <row r="703" spans="1:3" x14ac:dyDescent="0.35">
      <c r="A703" s="1">
        <v>42874</v>
      </c>
      <c r="B703">
        <v>0</v>
      </c>
      <c r="C703" s="4">
        <f t="shared" si="10"/>
        <v>0</v>
      </c>
    </row>
    <row r="704" spans="1:3" x14ac:dyDescent="0.35">
      <c r="A704" s="1">
        <v>42875</v>
      </c>
      <c r="B704">
        <v>0</v>
      </c>
      <c r="C704" s="4">
        <f t="shared" si="10"/>
        <v>0</v>
      </c>
    </row>
    <row r="705" spans="1:3" x14ac:dyDescent="0.35">
      <c r="A705" s="1">
        <v>42876</v>
      </c>
      <c r="B705">
        <v>0</v>
      </c>
      <c r="C705" s="4">
        <f t="shared" si="10"/>
        <v>0</v>
      </c>
    </row>
    <row r="706" spans="1:3" x14ac:dyDescent="0.35">
      <c r="A706" s="1">
        <v>42877</v>
      </c>
      <c r="B706">
        <v>0</v>
      </c>
      <c r="C706" s="4">
        <f t="shared" si="10"/>
        <v>0</v>
      </c>
    </row>
    <row r="707" spans="1:3" x14ac:dyDescent="0.35">
      <c r="A707" s="1">
        <v>42878</v>
      </c>
      <c r="B707">
        <v>0</v>
      </c>
      <c r="C707" s="4">
        <f t="shared" si="10"/>
        <v>0</v>
      </c>
    </row>
    <row r="708" spans="1:3" x14ac:dyDescent="0.35">
      <c r="A708" s="1">
        <v>42879</v>
      </c>
      <c r="B708">
        <v>0</v>
      </c>
      <c r="C708" s="4">
        <f t="shared" si="10"/>
        <v>0</v>
      </c>
    </row>
    <row r="709" spans="1:3" x14ac:dyDescent="0.35">
      <c r="A709" s="1">
        <v>42880</v>
      </c>
      <c r="B709">
        <v>0</v>
      </c>
      <c r="C709" s="4">
        <f t="shared" si="10"/>
        <v>0</v>
      </c>
    </row>
    <row r="710" spans="1:3" x14ac:dyDescent="0.35">
      <c r="A710" s="1">
        <v>42881</v>
      </c>
      <c r="B710">
        <v>0</v>
      </c>
      <c r="C710" s="4">
        <f t="shared" si="10"/>
        <v>0</v>
      </c>
    </row>
    <row r="711" spans="1:3" x14ac:dyDescent="0.35">
      <c r="A711" s="1">
        <v>42882</v>
      </c>
      <c r="B711">
        <v>0</v>
      </c>
      <c r="C711" s="4">
        <f t="shared" si="10"/>
        <v>0</v>
      </c>
    </row>
    <row r="712" spans="1:3" x14ac:dyDescent="0.35">
      <c r="A712" s="1">
        <v>42883</v>
      </c>
      <c r="B712">
        <v>0</v>
      </c>
      <c r="C712" s="4">
        <f t="shared" ref="C712:C735" si="11">AVERAGE(B706:B712)</f>
        <v>0</v>
      </c>
    </row>
    <row r="713" spans="1:3" x14ac:dyDescent="0.35">
      <c r="A713" s="1">
        <v>42884</v>
      </c>
      <c r="B713">
        <v>0</v>
      </c>
      <c r="C713" s="4">
        <f t="shared" si="11"/>
        <v>0</v>
      </c>
    </row>
    <row r="714" spans="1:3" x14ac:dyDescent="0.35">
      <c r="A714" s="1">
        <v>42885</v>
      </c>
      <c r="B714">
        <v>0</v>
      </c>
      <c r="C714" s="4">
        <f t="shared" si="11"/>
        <v>0</v>
      </c>
    </row>
    <row r="715" spans="1:3" x14ac:dyDescent="0.35">
      <c r="A715" s="1">
        <v>42886</v>
      </c>
      <c r="B715">
        <v>0</v>
      </c>
      <c r="C715" s="4">
        <f t="shared" si="11"/>
        <v>0</v>
      </c>
    </row>
    <row r="716" spans="1:3" x14ac:dyDescent="0.35">
      <c r="A716" s="1">
        <v>42887</v>
      </c>
      <c r="B716">
        <v>0</v>
      </c>
      <c r="C716" s="4">
        <f t="shared" si="11"/>
        <v>0</v>
      </c>
    </row>
    <row r="717" spans="1:3" x14ac:dyDescent="0.35">
      <c r="A717" s="1">
        <v>42888</v>
      </c>
      <c r="B717">
        <v>0</v>
      </c>
      <c r="C717" s="4">
        <f t="shared" si="11"/>
        <v>0</v>
      </c>
    </row>
    <row r="718" spans="1:3" x14ac:dyDescent="0.35">
      <c r="A718" s="1">
        <v>42889</v>
      </c>
      <c r="B718">
        <v>0</v>
      </c>
      <c r="C718" s="4">
        <f t="shared" si="11"/>
        <v>0</v>
      </c>
    </row>
    <row r="719" spans="1:3" x14ac:dyDescent="0.35">
      <c r="A719" s="1">
        <v>42890</v>
      </c>
      <c r="B719">
        <v>0</v>
      </c>
      <c r="C719" s="4">
        <f t="shared" si="11"/>
        <v>0</v>
      </c>
    </row>
    <row r="720" spans="1:3" x14ac:dyDescent="0.35">
      <c r="A720" s="1">
        <v>42891</v>
      </c>
      <c r="B720">
        <v>0</v>
      </c>
      <c r="C720" s="4">
        <f t="shared" si="11"/>
        <v>0</v>
      </c>
    </row>
    <row r="721" spans="1:3" x14ac:dyDescent="0.35">
      <c r="A721" s="1">
        <v>42892</v>
      </c>
      <c r="B721">
        <v>0</v>
      </c>
      <c r="C721" s="4">
        <f t="shared" si="11"/>
        <v>0</v>
      </c>
    </row>
    <row r="722" spans="1:3" x14ac:dyDescent="0.35">
      <c r="A722" s="1">
        <v>42893</v>
      </c>
      <c r="B722">
        <v>0</v>
      </c>
      <c r="C722" s="4">
        <f t="shared" si="11"/>
        <v>0</v>
      </c>
    </row>
    <row r="723" spans="1:3" x14ac:dyDescent="0.35">
      <c r="A723" s="1">
        <v>42894</v>
      </c>
      <c r="B723">
        <v>0</v>
      </c>
      <c r="C723" s="4">
        <f t="shared" si="11"/>
        <v>0</v>
      </c>
    </row>
    <row r="724" spans="1:3" x14ac:dyDescent="0.35">
      <c r="A724" s="1">
        <v>42895</v>
      </c>
      <c r="B724">
        <v>0</v>
      </c>
      <c r="C724" s="4">
        <f t="shared" si="11"/>
        <v>0</v>
      </c>
    </row>
    <row r="725" spans="1:3" x14ac:dyDescent="0.35">
      <c r="A725" s="1">
        <v>42896</v>
      </c>
      <c r="B725">
        <v>0</v>
      </c>
      <c r="C725" s="4">
        <f t="shared" si="11"/>
        <v>0</v>
      </c>
    </row>
    <row r="726" spans="1:3" x14ac:dyDescent="0.35">
      <c r="A726" s="1">
        <v>42897</v>
      </c>
      <c r="B726">
        <v>0</v>
      </c>
      <c r="C726" s="4">
        <f t="shared" si="11"/>
        <v>0</v>
      </c>
    </row>
    <row r="727" spans="1:3" x14ac:dyDescent="0.35">
      <c r="A727" s="1">
        <v>42898</v>
      </c>
      <c r="B727">
        <v>0</v>
      </c>
      <c r="C727" s="4">
        <f t="shared" si="11"/>
        <v>0</v>
      </c>
    </row>
    <row r="728" spans="1:3" x14ac:dyDescent="0.35">
      <c r="A728" s="1">
        <v>42899</v>
      </c>
      <c r="B728">
        <v>0</v>
      </c>
      <c r="C728" s="4">
        <f t="shared" si="11"/>
        <v>0</v>
      </c>
    </row>
    <row r="729" spans="1:3" x14ac:dyDescent="0.35">
      <c r="A729" s="1">
        <v>42900</v>
      </c>
      <c r="B729">
        <v>0</v>
      </c>
      <c r="C729" s="4">
        <f t="shared" si="11"/>
        <v>0</v>
      </c>
    </row>
    <row r="730" spans="1:3" x14ac:dyDescent="0.35">
      <c r="A730" s="1">
        <v>42901</v>
      </c>
      <c r="B730">
        <v>0</v>
      </c>
      <c r="C730" s="4">
        <f t="shared" si="11"/>
        <v>0</v>
      </c>
    </row>
    <row r="731" spans="1:3" x14ac:dyDescent="0.35">
      <c r="A731" s="1">
        <v>42902</v>
      </c>
      <c r="B731">
        <v>0</v>
      </c>
      <c r="C731" s="4">
        <f t="shared" si="11"/>
        <v>0</v>
      </c>
    </row>
    <row r="732" spans="1:3" x14ac:dyDescent="0.35">
      <c r="A732" s="1">
        <v>42903</v>
      </c>
      <c r="B732">
        <v>0</v>
      </c>
      <c r="C732" s="4">
        <f t="shared" si="11"/>
        <v>0</v>
      </c>
    </row>
    <row r="733" spans="1:3" x14ac:dyDescent="0.35">
      <c r="A733" s="1">
        <v>42904</v>
      </c>
      <c r="B733">
        <v>0</v>
      </c>
      <c r="C733" s="4">
        <f t="shared" si="11"/>
        <v>0</v>
      </c>
    </row>
    <row r="734" spans="1:3" x14ac:dyDescent="0.35">
      <c r="A734" s="1">
        <v>42905</v>
      </c>
      <c r="B734">
        <v>0</v>
      </c>
      <c r="C734" s="4">
        <f t="shared" si="11"/>
        <v>0</v>
      </c>
    </row>
    <row r="735" spans="1:3" x14ac:dyDescent="0.35">
      <c r="A735" s="1">
        <v>42906</v>
      </c>
      <c r="B735">
        <v>0</v>
      </c>
      <c r="C735" s="4">
        <f t="shared" si="11"/>
        <v>0</v>
      </c>
    </row>
    <row r="736" spans="1:3" x14ac:dyDescent="0.35">
      <c r="A736" s="1">
        <v>42907</v>
      </c>
      <c r="B736">
        <f>COUNTIF(Overall!A:A, "2017-06-21")</f>
        <v>1</v>
      </c>
      <c r="C736" s="4">
        <f t="shared" ref="C736" si="12">AVERAGE(B730:B736)</f>
        <v>0.14285714285714285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A28" sqref="A28:A52"/>
    </sheetView>
  </sheetViews>
  <sheetFormatPr defaultRowHeight="14.5" x14ac:dyDescent="0.35"/>
  <sheetData>
    <row r="1" spans="1:3" x14ac:dyDescent="0.35">
      <c r="A1" t="s">
        <v>2</v>
      </c>
      <c r="B1" t="s">
        <v>938</v>
      </c>
      <c r="C1" t="s">
        <v>939</v>
      </c>
    </row>
    <row r="2" spans="1:3" x14ac:dyDescent="0.35">
      <c r="A2" t="s">
        <v>921</v>
      </c>
      <c r="B2">
        <v>25</v>
      </c>
      <c r="C2" t="s">
        <v>934</v>
      </c>
    </row>
    <row r="3" spans="1:3" x14ac:dyDescent="0.35">
      <c r="A3" t="s">
        <v>930</v>
      </c>
      <c r="B3">
        <v>18</v>
      </c>
      <c r="C3" t="s">
        <v>934</v>
      </c>
    </row>
    <row r="4" spans="1:3" x14ac:dyDescent="0.35">
      <c r="A4" t="s">
        <v>931</v>
      </c>
      <c r="B4">
        <v>15</v>
      </c>
      <c r="C4" t="s">
        <v>934</v>
      </c>
    </row>
    <row r="5" spans="1:3" x14ac:dyDescent="0.35">
      <c r="A5" t="s">
        <v>929</v>
      </c>
      <c r="B5">
        <v>14</v>
      </c>
      <c r="C5" t="s">
        <v>934</v>
      </c>
    </row>
    <row r="6" spans="1:3" x14ac:dyDescent="0.35">
      <c r="A6" t="s">
        <v>936</v>
      </c>
      <c r="B6">
        <v>10</v>
      </c>
      <c r="C6" t="s">
        <v>934</v>
      </c>
    </row>
    <row r="7" spans="1:3" x14ac:dyDescent="0.35">
      <c r="A7" t="s">
        <v>971</v>
      </c>
      <c r="B7">
        <v>8</v>
      </c>
      <c r="C7" t="s">
        <v>934</v>
      </c>
    </row>
    <row r="8" spans="1:3" x14ac:dyDescent="0.35">
      <c r="A8" t="s">
        <v>933</v>
      </c>
      <c r="B8">
        <v>7</v>
      </c>
      <c r="C8" t="s">
        <v>934</v>
      </c>
    </row>
    <row r="9" spans="1:3" x14ac:dyDescent="0.35">
      <c r="A9" t="s">
        <v>923</v>
      </c>
      <c r="B9">
        <v>6</v>
      </c>
      <c r="C9" t="s">
        <v>935</v>
      </c>
    </row>
    <row r="10" spans="1:3" x14ac:dyDescent="0.35">
      <c r="A10" t="s">
        <v>922</v>
      </c>
      <c r="B10">
        <v>6</v>
      </c>
      <c r="C10" t="s">
        <v>934</v>
      </c>
    </row>
    <row r="11" spans="1:3" x14ac:dyDescent="0.35">
      <c r="A11" t="s">
        <v>966</v>
      </c>
      <c r="B11">
        <v>6</v>
      </c>
      <c r="C11" t="s">
        <v>934</v>
      </c>
    </row>
    <row r="12" spans="1:3" x14ac:dyDescent="0.35">
      <c r="A12" t="s">
        <v>937</v>
      </c>
      <c r="B12">
        <v>5</v>
      </c>
      <c r="C12" t="s">
        <v>934</v>
      </c>
    </row>
    <row r="13" spans="1:3" x14ac:dyDescent="0.35">
      <c r="A13" t="s">
        <v>928</v>
      </c>
      <c r="B13">
        <v>5</v>
      </c>
      <c r="C13" t="s">
        <v>934</v>
      </c>
    </row>
    <row r="14" spans="1:3" x14ac:dyDescent="0.35">
      <c r="A14" t="s">
        <v>941</v>
      </c>
      <c r="B14">
        <v>4</v>
      </c>
      <c r="C14" t="s">
        <v>934</v>
      </c>
    </row>
    <row r="15" spans="1:3" x14ac:dyDescent="0.35">
      <c r="A15" t="s">
        <v>945</v>
      </c>
      <c r="B15">
        <v>4</v>
      </c>
      <c r="C15" t="s">
        <v>934</v>
      </c>
    </row>
    <row r="16" spans="1:3" x14ac:dyDescent="0.35">
      <c r="A16" t="s">
        <v>926</v>
      </c>
      <c r="B16">
        <v>3</v>
      </c>
      <c r="C16" t="s">
        <v>934</v>
      </c>
    </row>
    <row r="17" spans="1:3" x14ac:dyDescent="0.35">
      <c r="A17" t="s">
        <v>957</v>
      </c>
      <c r="B17">
        <v>3</v>
      </c>
      <c r="C17" t="s">
        <v>935</v>
      </c>
    </row>
    <row r="18" spans="1:3" x14ac:dyDescent="0.35">
      <c r="A18" t="s">
        <v>950</v>
      </c>
      <c r="B18">
        <v>2</v>
      </c>
      <c r="C18" t="s">
        <v>935</v>
      </c>
    </row>
    <row r="19" spans="1:3" x14ac:dyDescent="0.35">
      <c r="A19" t="s">
        <v>942</v>
      </c>
      <c r="B19">
        <v>1</v>
      </c>
      <c r="C19" t="s">
        <v>934</v>
      </c>
    </row>
    <row r="20" spans="1:3" x14ac:dyDescent="0.35">
      <c r="A20" t="s">
        <v>943</v>
      </c>
      <c r="B20">
        <v>1</v>
      </c>
      <c r="C20" t="s">
        <v>934</v>
      </c>
    </row>
    <row r="21" spans="1:3" x14ac:dyDescent="0.35">
      <c r="A21" t="s">
        <v>932</v>
      </c>
      <c r="B21">
        <v>1</v>
      </c>
      <c r="C21" t="s">
        <v>934</v>
      </c>
    </row>
    <row r="22" spans="1:3" x14ac:dyDescent="0.35">
      <c r="A22" t="s">
        <v>947</v>
      </c>
      <c r="B22">
        <v>1</v>
      </c>
      <c r="C22" t="s">
        <v>934</v>
      </c>
    </row>
    <row r="23" spans="1:3" x14ac:dyDescent="0.35">
      <c r="A23" t="s">
        <v>948</v>
      </c>
      <c r="B23">
        <v>1</v>
      </c>
      <c r="C23" t="s">
        <v>934</v>
      </c>
    </row>
    <row r="24" spans="1:3" x14ac:dyDescent="0.35">
      <c r="A24" t="s">
        <v>925</v>
      </c>
      <c r="B24">
        <v>1</v>
      </c>
      <c r="C24" t="s">
        <v>935</v>
      </c>
    </row>
    <row r="25" spans="1:3" x14ac:dyDescent="0.35">
      <c r="A25" t="s">
        <v>954</v>
      </c>
      <c r="B25">
        <v>1</v>
      </c>
      <c r="C25" t="s">
        <v>935</v>
      </c>
    </row>
    <row r="26" spans="1:3" x14ac:dyDescent="0.35">
      <c r="A26" t="s">
        <v>956</v>
      </c>
      <c r="B26">
        <v>1</v>
      </c>
      <c r="C26" t="s">
        <v>935</v>
      </c>
    </row>
    <row r="27" spans="1:3" x14ac:dyDescent="0.35">
      <c r="A27" t="s">
        <v>962</v>
      </c>
      <c r="B27">
        <v>1</v>
      </c>
      <c r="C27" t="s">
        <v>935</v>
      </c>
    </row>
    <row r="28" spans="1:3" x14ac:dyDescent="0.35">
      <c r="A28" t="s">
        <v>927</v>
      </c>
      <c r="B28">
        <v>0</v>
      </c>
      <c r="C28" t="s">
        <v>934</v>
      </c>
    </row>
    <row r="29" spans="1:3" x14ac:dyDescent="0.35">
      <c r="A29" t="s">
        <v>940</v>
      </c>
      <c r="B29">
        <v>0</v>
      </c>
      <c r="C29" t="s">
        <v>934</v>
      </c>
    </row>
    <row r="30" spans="1:3" x14ac:dyDescent="0.35">
      <c r="A30" t="s">
        <v>960</v>
      </c>
      <c r="B30">
        <v>0</v>
      </c>
      <c r="C30" t="s">
        <v>934</v>
      </c>
    </row>
    <row r="31" spans="1:3" x14ac:dyDescent="0.35">
      <c r="A31" t="s">
        <v>917</v>
      </c>
      <c r="B31">
        <v>0</v>
      </c>
      <c r="C31" t="s">
        <v>934</v>
      </c>
    </row>
    <row r="32" spans="1:3" x14ac:dyDescent="0.35">
      <c r="A32" t="s">
        <v>475</v>
      </c>
      <c r="B32">
        <v>0</v>
      </c>
      <c r="C32" t="s">
        <v>934</v>
      </c>
    </row>
    <row r="33" spans="1:3" x14ac:dyDescent="0.35">
      <c r="A33" t="s">
        <v>972</v>
      </c>
      <c r="B33">
        <v>0</v>
      </c>
      <c r="C33" t="s">
        <v>934</v>
      </c>
    </row>
    <row r="34" spans="1:3" x14ac:dyDescent="0.35">
      <c r="A34" t="s">
        <v>944</v>
      </c>
      <c r="B34">
        <v>0</v>
      </c>
      <c r="C34" t="s">
        <v>934</v>
      </c>
    </row>
    <row r="35" spans="1:3" x14ac:dyDescent="0.35">
      <c r="A35" t="s">
        <v>959</v>
      </c>
      <c r="B35">
        <v>0</v>
      </c>
      <c r="C35" t="s">
        <v>934</v>
      </c>
    </row>
    <row r="36" spans="1:3" x14ac:dyDescent="0.35">
      <c r="A36" t="s">
        <v>952</v>
      </c>
      <c r="B36">
        <v>0</v>
      </c>
      <c r="C36" t="s">
        <v>934</v>
      </c>
    </row>
    <row r="37" spans="1:3" x14ac:dyDescent="0.35">
      <c r="A37" t="s">
        <v>973</v>
      </c>
      <c r="B37">
        <v>0</v>
      </c>
      <c r="C37" t="s">
        <v>934</v>
      </c>
    </row>
    <row r="38" spans="1:3" x14ac:dyDescent="0.35">
      <c r="A38" t="s">
        <v>969</v>
      </c>
      <c r="B38">
        <v>0</v>
      </c>
      <c r="C38" t="s">
        <v>934</v>
      </c>
    </row>
    <row r="39" spans="1:3" x14ac:dyDescent="0.35">
      <c r="A39" t="s">
        <v>965</v>
      </c>
      <c r="B39">
        <v>0</v>
      </c>
      <c r="C39" t="s">
        <v>934</v>
      </c>
    </row>
    <row r="40" spans="1:3" x14ac:dyDescent="0.35">
      <c r="A40" t="s">
        <v>946</v>
      </c>
      <c r="B40">
        <v>0</v>
      </c>
      <c r="C40" t="s">
        <v>934</v>
      </c>
    </row>
    <row r="41" spans="1:3" x14ac:dyDescent="0.35">
      <c r="A41" t="s">
        <v>958</v>
      </c>
      <c r="B41">
        <v>0</v>
      </c>
      <c r="C41" t="s">
        <v>934</v>
      </c>
    </row>
    <row r="42" spans="1:3" x14ac:dyDescent="0.35">
      <c r="A42" t="s">
        <v>963</v>
      </c>
      <c r="B42">
        <v>0</v>
      </c>
      <c r="C42" t="s">
        <v>935</v>
      </c>
    </row>
    <row r="43" spans="1:3" x14ac:dyDescent="0.35">
      <c r="A43" t="s">
        <v>924</v>
      </c>
      <c r="B43">
        <v>0</v>
      </c>
      <c r="C43" t="s">
        <v>934</v>
      </c>
    </row>
    <row r="44" spans="1:3" x14ac:dyDescent="0.35">
      <c r="A44" t="s">
        <v>953</v>
      </c>
      <c r="B44">
        <v>0</v>
      </c>
      <c r="C44" t="s">
        <v>934</v>
      </c>
    </row>
    <row r="45" spans="1:3" x14ac:dyDescent="0.35">
      <c r="A45" t="s">
        <v>951</v>
      </c>
      <c r="B45">
        <v>0</v>
      </c>
      <c r="C45" t="s">
        <v>934</v>
      </c>
    </row>
    <row r="46" spans="1:3" x14ac:dyDescent="0.35">
      <c r="A46" t="s">
        <v>964</v>
      </c>
      <c r="B46">
        <v>0</v>
      </c>
      <c r="C46" t="s">
        <v>934</v>
      </c>
    </row>
    <row r="47" spans="1:3" x14ac:dyDescent="0.35">
      <c r="A47" t="s">
        <v>949</v>
      </c>
      <c r="B47">
        <v>0</v>
      </c>
      <c r="C47" t="s">
        <v>934</v>
      </c>
    </row>
    <row r="48" spans="1:3" x14ac:dyDescent="0.35">
      <c r="A48" t="s">
        <v>955</v>
      </c>
      <c r="B48">
        <v>0</v>
      </c>
      <c r="C48" t="s">
        <v>935</v>
      </c>
    </row>
    <row r="49" spans="1:3" x14ac:dyDescent="0.35">
      <c r="A49" t="s">
        <v>961</v>
      </c>
      <c r="B49">
        <v>0</v>
      </c>
      <c r="C49" t="s">
        <v>934</v>
      </c>
    </row>
    <row r="50" spans="1:3" x14ac:dyDescent="0.35">
      <c r="A50" t="s">
        <v>968</v>
      </c>
      <c r="B50">
        <v>0</v>
      </c>
      <c r="C50" t="s">
        <v>934</v>
      </c>
    </row>
    <row r="51" spans="1:3" x14ac:dyDescent="0.35">
      <c r="A51" t="s">
        <v>970</v>
      </c>
      <c r="B51">
        <v>0</v>
      </c>
      <c r="C51" t="s">
        <v>934</v>
      </c>
    </row>
    <row r="52" spans="1:3" x14ac:dyDescent="0.35">
      <c r="A52" t="s">
        <v>967</v>
      </c>
      <c r="B52">
        <v>0</v>
      </c>
      <c r="C52" t="s">
        <v>934</v>
      </c>
    </row>
  </sheetData>
  <sortState ref="A2:C684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Overall</vt:lpstr>
      <vt:lpstr>rate</vt:lpstr>
      <vt:lpstr>State_tot_gen_elec</vt:lpstr>
      <vt:lpstr>Overall!Extract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 Doctor Zed</dc:creator>
  <cp:lastModifiedBy>Evil Doctor Zed</cp:lastModifiedBy>
  <dcterms:created xsi:type="dcterms:W3CDTF">2017-06-01T20:09:33Z</dcterms:created>
  <dcterms:modified xsi:type="dcterms:W3CDTF">2017-08-24T22:22:07Z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baf03175-e606-43e2-9af3-3c6a32b2b136</vt:lpwstr>
  </property>
</Properties>
</file>